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nabihah.adanan\Documents\From sharefolder\eData Library\2021 onwards\Transport and Communications\"/>
    </mc:Choice>
  </mc:AlternateContent>
  <xr:revisionPtr revIDLastSave="0" documentId="13_ncr:1_{2BC489EF-145C-4FA6-949A-AFCD796E8A17}" xr6:coauthVersionLast="36" xr6:coauthVersionMax="36" xr10:uidLastSave="{00000000-0000-0000-0000-000000000000}"/>
  <bookViews>
    <workbookView xWindow="0" yWindow="0" windowWidth="13065" windowHeight="4710" tabRatio="596" activeTab="1" xr2:uid="{00000000-000D-0000-FFFF-FFFF00000000}"/>
  </bookViews>
  <sheets>
    <sheet name="Metadata" sheetId="2" r:id="rId1"/>
    <sheet name="Data" sheetId="4"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Q10" i="4" l="1"/>
  <c r="BQ9" i="4"/>
  <c r="BQ6" i="4"/>
  <c r="BQ5" i="4"/>
  <c r="BP10" i="4"/>
  <c r="BP9" i="4"/>
  <c r="BP6" i="4"/>
  <c r="BP5" i="4"/>
  <c r="BO10" i="4"/>
  <c r="BO9" i="4"/>
  <c r="BO6" i="4"/>
  <c r="BO5" i="4"/>
  <c r="BN10" i="4"/>
  <c r="BN9" i="4"/>
  <c r="BN6" i="4"/>
  <c r="BN5" i="4"/>
  <c r="BM10" i="4"/>
  <c r="BM9" i="4"/>
  <c r="BM6" i="4"/>
  <c r="BM5" i="4"/>
  <c r="BL10" i="4"/>
  <c r="BL9" i="4"/>
  <c r="BL6" i="4"/>
  <c r="BL5" i="4"/>
  <c r="BK10" i="4"/>
  <c r="BK9" i="4"/>
  <c r="BK6" i="4"/>
  <c r="BK5" i="4"/>
  <c r="BJ11" i="4"/>
  <c r="BJ10" i="4"/>
  <c r="BJ9" i="4"/>
  <c r="BJ6" i="4"/>
  <c r="BJ5" i="4"/>
  <c r="BI11" i="4"/>
  <c r="BI10" i="4"/>
  <c r="BI9" i="4"/>
  <c r="BI6" i="4"/>
  <c r="BI5" i="4"/>
  <c r="BH11" i="4" l="1"/>
  <c r="BH10" i="4"/>
  <c r="BH9" i="4"/>
  <c r="BH6" i="4"/>
  <c r="BH5" i="4"/>
  <c r="BG11" i="4"/>
  <c r="BG10" i="4"/>
  <c r="BG9" i="4"/>
  <c r="BG6" i="4"/>
  <c r="BG5" i="4"/>
  <c r="BF6" i="4"/>
  <c r="BF11" i="4"/>
  <c r="BF10" i="4"/>
  <c r="BF9" i="4"/>
  <c r="BF5" i="4"/>
  <c r="BE11" i="4"/>
  <c r="BE10" i="4"/>
  <c r="BE9" i="4"/>
  <c r="BE6" i="4"/>
  <c r="BE5" i="4"/>
  <c r="BD11" i="4"/>
  <c r="BD10" i="4"/>
  <c r="BD9" i="4"/>
  <c r="BD6" i="4"/>
  <c r="BD5" i="4"/>
  <c r="BC11" i="4"/>
  <c r="BC10" i="4"/>
  <c r="BC9" i="4"/>
  <c r="BC6" i="4"/>
  <c r="BC5" i="4"/>
  <c r="BB11" i="4"/>
  <c r="BB10" i="4"/>
  <c r="BB9" i="4"/>
  <c r="BB6" i="4"/>
  <c r="BB5" i="4"/>
  <c r="BA11" i="4"/>
  <c r="BA10" i="4"/>
  <c r="BA9" i="4"/>
  <c r="BA6" i="4"/>
  <c r="BA5" i="4"/>
  <c r="AZ11" i="4"/>
  <c r="AZ10" i="4"/>
  <c r="AZ9" i="4"/>
  <c r="AZ6" i="4"/>
  <c r="AZ5" i="4"/>
  <c r="AY11" i="4"/>
  <c r="AY10" i="4"/>
  <c r="AY9" i="4"/>
  <c r="AY6" i="4"/>
  <c r="AY5" i="4"/>
  <c r="AX11" i="4"/>
  <c r="AX10" i="4"/>
  <c r="AX9" i="4"/>
  <c r="AX6" i="4"/>
  <c r="AX5" i="4"/>
  <c r="AW11" i="4"/>
  <c r="AW10" i="4"/>
  <c r="AW9" i="4"/>
  <c r="AW6" i="4"/>
  <c r="AW5" i="4"/>
  <c r="AV11" i="4"/>
  <c r="AV10" i="4"/>
  <c r="AV9" i="4"/>
  <c r="AV6" i="4"/>
  <c r="AV5" i="4"/>
  <c r="AU11" i="4"/>
  <c r="AU10" i="4"/>
  <c r="AU9" i="4"/>
  <c r="AU6" i="4"/>
  <c r="AU5" i="4"/>
  <c r="AT11" i="4"/>
  <c r="AT10" i="4"/>
  <c r="AT9" i="4"/>
  <c r="AT6" i="4"/>
  <c r="AT5" i="4"/>
  <c r="AS11" i="4"/>
  <c r="AS10" i="4"/>
  <c r="AS9" i="4"/>
  <c r="AS6" i="4"/>
  <c r="AS5" i="4"/>
  <c r="AR11" i="4"/>
  <c r="AR10" i="4"/>
  <c r="AR9" i="4"/>
  <c r="AR6" i="4"/>
  <c r="AR5" i="4"/>
  <c r="AQ11" i="4"/>
  <c r="AQ10" i="4"/>
  <c r="AQ9" i="4"/>
  <c r="AQ6" i="4"/>
  <c r="AQ5" i="4"/>
  <c r="AP11" i="4"/>
  <c r="AP10" i="4"/>
  <c r="AP9" i="4"/>
  <c r="AP6" i="4"/>
  <c r="AP5" i="4"/>
  <c r="AO5" i="4"/>
  <c r="AO11" i="4"/>
  <c r="AO10" i="4"/>
  <c r="AO9" i="4"/>
  <c r="AO6" i="4"/>
  <c r="AN11" i="4"/>
  <c r="AN10" i="4"/>
  <c r="AN9" i="4"/>
  <c r="AN6" i="4"/>
  <c r="AN5" i="4"/>
  <c r="AM11" i="4"/>
  <c r="AM10" i="4"/>
  <c r="AM9" i="4"/>
  <c r="AM6" i="4"/>
  <c r="AM5" i="4"/>
  <c r="AL11" i="4"/>
  <c r="AL10" i="4"/>
  <c r="AL9" i="4"/>
  <c r="AL6" i="4"/>
  <c r="AL5" i="4"/>
  <c r="AK11" i="4"/>
  <c r="AK10" i="4"/>
  <c r="AK9" i="4"/>
  <c r="AK6" i="4"/>
  <c r="AK5" i="4"/>
  <c r="AJ11" i="4"/>
  <c r="AJ10" i="4"/>
  <c r="AJ9" i="4"/>
  <c r="AJ6" i="4"/>
  <c r="AJ5" i="4"/>
  <c r="AI11" i="4"/>
  <c r="AI10" i="4"/>
  <c r="AI9" i="4"/>
  <c r="AI6" i="4"/>
  <c r="AI5" i="4"/>
  <c r="AH11" i="4"/>
  <c r="AH10" i="4"/>
  <c r="AH9" i="4"/>
  <c r="AH6" i="4"/>
  <c r="AH5" i="4"/>
  <c r="AG11" i="4"/>
  <c r="AG10" i="4"/>
  <c r="AG9" i="4"/>
  <c r="AG6" i="4"/>
  <c r="AG5" i="4"/>
  <c r="AF11" i="4"/>
  <c r="AF10" i="4"/>
  <c r="AF9" i="4"/>
  <c r="AF6" i="4"/>
  <c r="AF5" i="4"/>
  <c r="AE11" i="4"/>
  <c r="AE10" i="4"/>
  <c r="AE9" i="4"/>
  <c r="AE6" i="4"/>
  <c r="AE5" i="4"/>
  <c r="AD11" i="4"/>
  <c r="AD10" i="4"/>
  <c r="AD9" i="4"/>
  <c r="AD6" i="4"/>
  <c r="AD5" i="4"/>
  <c r="BU11" i="4" l="1"/>
  <c r="BU6" i="4"/>
  <c r="BU5" i="4"/>
  <c r="BT11" i="4"/>
  <c r="BT10" i="4"/>
  <c r="BT9" i="4"/>
  <c r="BT6" i="4"/>
  <c r="BT5" i="4"/>
  <c r="BS11" i="4"/>
  <c r="BS10" i="4"/>
  <c r="BS9" i="4"/>
  <c r="BS6" i="4"/>
  <c r="BS5" i="4"/>
  <c r="BR10" i="4"/>
  <c r="BR9" i="4"/>
  <c r="BR6" i="4"/>
  <c r="BR5" i="4"/>
  <c r="BW11" i="4"/>
  <c r="BW10" i="4"/>
  <c r="BW9" i="4"/>
  <c r="BX11" i="4"/>
  <c r="BX10" i="4"/>
  <c r="BX9" i="4"/>
  <c r="BY11" i="4"/>
  <c r="BY10" i="4"/>
  <c r="BY9" i="4"/>
  <c r="BY6" i="4"/>
  <c r="BY5" i="4"/>
  <c r="BX6" i="4"/>
  <c r="BX5" i="4"/>
  <c r="BW6" i="4"/>
  <c r="BW5" i="4"/>
  <c r="BV11" i="4"/>
  <c r="BV10" i="4"/>
  <c r="BV9" i="4"/>
  <c r="BV6" i="4"/>
  <c r="BV5" i="4"/>
  <c r="CC11" i="4" l="1"/>
  <c r="CC10" i="4"/>
  <c r="CC9" i="4"/>
  <c r="CB11" i="4"/>
  <c r="CB10" i="4"/>
  <c r="CB9" i="4"/>
  <c r="CB6" i="4"/>
  <c r="CB5" i="4"/>
  <c r="CA11" i="4"/>
  <c r="CA10" i="4"/>
  <c r="CA9" i="4"/>
  <c r="BZ11" i="4"/>
  <c r="BZ10" i="4"/>
  <c r="BZ9" i="4"/>
  <c r="CA6" i="4"/>
  <c r="CA5" i="4"/>
  <c r="BZ6" i="4"/>
  <c r="BZ5" i="4"/>
  <c r="CG11" i="4" l="1"/>
  <c r="CG10" i="4"/>
  <c r="CG9" i="4"/>
  <c r="CF11" i="4"/>
  <c r="CF10" i="4"/>
  <c r="CF9" i="4"/>
  <c r="CE11" i="4"/>
  <c r="CE10" i="4"/>
  <c r="CE9" i="4"/>
  <c r="CD11" i="4"/>
  <c r="CD10" i="4"/>
  <c r="CD9" i="4"/>
  <c r="CG6" i="4"/>
  <c r="CG5" i="4"/>
  <c r="CF6" i="4"/>
  <c r="CF5" i="4"/>
  <c r="CE6" i="4"/>
  <c r="CE5" i="4"/>
  <c r="CD6" i="4"/>
  <c r="CD5" i="4"/>
  <c r="CH9" i="4" l="1"/>
  <c r="CI11" i="4"/>
  <c r="CI10" i="4"/>
  <c r="CI9" i="4"/>
  <c r="CH11" i="4"/>
  <c r="CH10" i="4"/>
  <c r="CI6" i="4"/>
  <c r="CH6" i="4"/>
  <c r="CI5" i="4"/>
  <c r="CH5" i="4"/>
</calcChain>
</file>

<file path=xl/sharedStrings.xml><?xml version="1.0" encoding="utf-8"?>
<sst xmlns="http://schemas.openxmlformats.org/spreadsheetml/2006/main" count="177" uniqueCount="38">
  <si>
    <t>Aircraft Movement (Number)</t>
  </si>
  <si>
    <t xml:space="preserve">   Scheduled</t>
  </si>
  <si>
    <t xml:space="preserve">   Non-scheduled</t>
  </si>
  <si>
    <t xml:space="preserve">   Chartered</t>
  </si>
  <si>
    <t>-</t>
  </si>
  <si>
    <t>Passenger (Persons)</t>
  </si>
  <si>
    <t xml:space="preserve">   Inward</t>
  </si>
  <si>
    <t xml:space="preserve">   Outward</t>
  </si>
  <si>
    <t xml:space="preserve">   Transit</t>
  </si>
  <si>
    <t>Source: Civil Aviation Department, Ministry of Transport and Infocommunications</t>
  </si>
  <si>
    <t>Title of dataset:</t>
  </si>
  <si>
    <t>Definition / Concept:</t>
  </si>
  <si>
    <t>Frequency:</t>
  </si>
  <si>
    <t>Unit of measure:</t>
  </si>
  <si>
    <t>Level of disaggregation:</t>
  </si>
  <si>
    <t>Footnote:</t>
  </si>
  <si>
    <t xml:space="preserve">-
</t>
  </si>
  <si>
    <t>Data source:</t>
  </si>
  <si>
    <t>Department of Civil Aviation, Ministry of Transport and Infocommunications</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</si>
  <si>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</si>
  <si>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</si>
  <si>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</si>
  <si>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</si>
  <si>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</si>
  <si>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</si>
  <si>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 Aircraft Movement and
- Passengers</t>
  </si>
  <si>
    <t>The number of aircraft movements and passengers refers to the total count of takeoffs and landings (aircraft movements) at an airport, along with the total number of passengers who arrive, depart, or transit through the airport within a specific period. This metric is used to gauge the airport's traffic volume and overall activity, providing insights into air transportation trends, airport capacity, and passenger demand.</t>
  </si>
  <si>
    <t>- Number
- Person</t>
  </si>
  <si>
    <t>Q1</t>
  </si>
  <si>
    <t>Q2</t>
  </si>
  <si>
    <t>Q3</t>
  </si>
  <si>
    <t>Q4</t>
  </si>
  <si>
    <t>Quarterly - Aircraft Movement and Passenger</t>
  </si>
  <si>
    <t xml:space="preserve">Quarterly
</t>
  </si>
  <si>
    <t>Q1 2005 - Q2 2026</t>
  </si>
  <si>
    <t>17/10/2026</t>
  </si>
  <si>
    <t>https://www.deps.gov.bn/terms-of-use/</t>
  </si>
  <si>
    <t>https://www.deps.gov.bn/edata-library/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</si>
</sst>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quot;-&quot;;@"/>
  </numFmts>
  <fonts count="21" x14ac:knownFonts="1">
    <font>
      <sz val="11"/>
      <color theme="1"/>
      <name val="Calibri"/>
      <family val="2"/>
      <scheme val="minor"/>
    </font>
    <font>
      <sz val="12"/>
      <name val="Arial"/>
      <family val="2"/>
    </font>
    <font>
      <b/>
      <sz val="12"/>
      <color indexed="8"/>
      <name val="Arial"/>
      <family val="2"/>
    </font>
    <font>
      <sz val="12"/>
      <color indexed="8"/>
      <name val="Arial"/>
      <family val="2"/>
    </font>
    <font>
      <sz val="11"/>
      <name val="Arial"/>
      <family val="2"/>
    </font>
    <font>
      <u/>
      <sz val="11"/>
      <color theme="10"/>
      <name val="Calibri"/>
      <family val="2"/>
      <scheme val="minor"/>
    </font>
    <font>
      <sz val="12"/>
      <color theme="1"/>
      <name val="Arial"/>
      <family val="2"/>
    </font>
    <font>
      <u/>
      <sz val="12"/>
      <color theme="10"/>
      <name val="Arial"/>
      <family val="2"/>
    </font>
    <font>
      <b/>
      <sz val="12"/>
      <name val="Arial"/>
      <family val="2"/>
    </font>
    <font>
      <b/>
      <sz val="8"/>
      <color theme="8" tint="-0.249977111117893"/>
      <name val="Arial"/>
      <family val="2"/>
    </font>
    <font>
      <b/>
      <sz val="8"/>
      <color rgb="FFC00000"/>
      <name val="Arial"/>
      <family val="2"/>
    </font>
    <font>
      <sz val="10"/>
      <color theme="9" tint="-0.249977111117893"/>
      <name val="Arial"/>
      <family val="2"/>
    </font>
    <font>
      <b/>
      <sz val="10"/>
      <color theme="9" tint="-0.249977111117893"/>
      <name val="Arial"/>
      <family val="2"/>
    </font>
    <font>
      <sz val="10"/>
      <color theme="9" tint="-0.499984740745262"/>
      <name val="Arial"/>
      <family val="2"/>
    </font>
    <font>
      <b/>
      <sz val="10"/>
      <color theme="9" tint="-0.499984740745262"/>
      <name val="Arial"/>
      <family val="2"/>
    </font>
    <font>
      <b/>
      <sz val="8"/>
      <color rgb="FF0000FF"/>
      <name val="Arial"/>
      <family val="2"/>
    </font>
    <font>
      <sz val="10"/>
      <color rgb="FFC00000"/>
      <name val="Arial"/>
      <family val="2"/>
    </font>
    <font>
      <b/>
      <sz val="10"/>
      <color rgb="FF0000FF"/>
      <name val="Arial"/>
      <family val="2"/>
    </font>
    <font>
      <sz val="8"/>
      <color rgb="FF0000FF"/>
      <name val="Arial"/>
      <family val="2"/>
    </font>
    <font>
      <sz val="8"/>
      <color rgb="FF0000FF"/>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5" fillId="0" borderId="0" applyNumberFormat="0" applyFill="0" applyBorder="0" applyAlignment="0" applyProtection="0"/>
    <xf numFmtId="43" fontId="20" fillId="0" borderId="0" applyFont="0" applyFill="0" applyBorder="0" applyAlignment="0" applyProtection="0"/>
  </cellStyleXfs>
  <cellXfs count="57">
    <xf numFmtId="0" fontId="0" fillId="0" borderId="0" xfId="0"/>
    <xf numFmtId="0" fontId="1" fillId="0" borderId="0" xfId="1" applyFont="1" applyFill="1"/>
    <xf numFmtId="0" fontId="3" fillId="0" borderId="0" xfId="1" applyFont="1" applyFill="1" applyAlignment="1" applyProtection="1">
      <alignment vertical="center"/>
    </xf>
    <xf numFmtId="0" fontId="1" fillId="0" borderId="0" xfId="1" applyFont="1" applyFill="1" applyBorder="1" applyAlignment="1">
      <alignment vertical="center"/>
    </xf>
    <xf numFmtId="0" fontId="3" fillId="0" borderId="0" xfId="1" applyFont="1" applyFill="1" applyBorder="1" applyAlignment="1" applyProtection="1">
      <alignment vertical="center"/>
    </xf>
    <xf numFmtId="0" fontId="1" fillId="0" borderId="0" xfId="1" applyFont="1" applyFill="1" applyAlignment="1">
      <alignment vertical="center"/>
    </xf>
    <xf numFmtId="0" fontId="4" fillId="0" borderId="0" xfId="1" applyFont="1" applyFill="1" applyAlignment="1">
      <alignment vertical="center"/>
    </xf>
    <xf numFmtId="37" fontId="3" fillId="0" borderId="0" xfId="1" applyNumberFormat="1" applyFont="1" applyFill="1" applyBorder="1" applyAlignment="1" applyProtection="1">
      <alignment vertical="center"/>
    </xf>
    <xf numFmtId="0" fontId="2" fillId="0" borderId="1" xfId="0" applyFont="1" applyFill="1" applyBorder="1" applyAlignment="1">
      <alignment horizontal="left" vertical="center" indent="1"/>
    </xf>
    <xf numFmtId="0" fontId="2" fillId="0" borderId="1" xfId="0" applyFont="1" applyFill="1" applyBorder="1" applyAlignment="1">
      <alignment horizontal="left" vertical="center"/>
    </xf>
    <xf numFmtId="3" fontId="3" fillId="0" borderId="1" xfId="1" applyNumberFormat="1" applyFont="1" applyFill="1" applyBorder="1" applyAlignment="1" applyProtection="1">
      <alignment horizontal="left" vertical="center"/>
    </xf>
    <xf numFmtId="3" fontId="1" fillId="0" borderId="1" xfId="1" applyNumberFormat="1" applyFont="1" applyFill="1" applyBorder="1" applyAlignment="1">
      <alignment horizontal="left" vertical="center"/>
    </xf>
    <xf numFmtId="3" fontId="2" fillId="0" borderId="1" xfId="0" applyNumberFormat="1" applyFont="1" applyFill="1" applyBorder="1" applyAlignment="1">
      <alignment horizontal="left" vertical="center"/>
    </xf>
    <xf numFmtId="0" fontId="1" fillId="0" borderId="0" xfId="1" applyFont="1" applyFill="1" applyBorder="1" applyAlignment="1" applyProtection="1">
      <alignment vertical="center"/>
    </xf>
    <xf numFmtId="3" fontId="3" fillId="0" borderId="1" xfId="1" applyNumberFormat="1" applyFont="1" applyFill="1" applyBorder="1" applyAlignment="1" applyProtection="1">
      <alignment horizontal="right" vertical="center"/>
    </xf>
    <xf numFmtId="0" fontId="6" fillId="0" borderId="1" xfId="0" applyFont="1" applyFill="1" applyBorder="1" applyAlignment="1">
      <alignment vertical="top"/>
    </xf>
    <xf numFmtId="0" fontId="6" fillId="0" borderId="1" xfId="0" applyFont="1" applyFill="1" applyBorder="1" applyAlignment="1">
      <alignment vertical="top" wrapText="1"/>
    </xf>
    <xf numFmtId="0" fontId="6" fillId="0" borderId="0" xfId="0" applyFont="1" applyFill="1"/>
    <xf numFmtId="0" fontId="6" fillId="0" borderId="1" xfId="0" applyFont="1" applyFill="1" applyBorder="1" applyAlignment="1">
      <alignment horizontal="justify" vertical="top" wrapText="1"/>
    </xf>
    <xf numFmtId="0" fontId="6" fillId="0" borderId="1" xfId="0" applyFont="1" applyFill="1" applyBorder="1" applyAlignment="1">
      <alignment wrapText="1"/>
    </xf>
    <xf numFmtId="0" fontId="6" fillId="0" borderId="1" xfId="0" quotePrefix="1" applyFont="1" applyFill="1" applyBorder="1" applyAlignment="1">
      <alignment horizontal="left" vertical="top" wrapText="1"/>
    </xf>
    <xf numFmtId="0" fontId="1" fillId="0" borderId="1" xfId="0" quotePrefix="1" applyFont="1" applyFill="1" applyBorder="1" applyAlignment="1">
      <alignment vertical="top" wrapText="1"/>
    </xf>
    <xf numFmtId="0" fontId="6" fillId="0" borderId="1" xfId="0" applyFont="1" applyFill="1" applyBorder="1" applyAlignment="1">
      <alignment horizontal="left" vertical="top" wrapText="1"/>
    </xf>
    <xf numFmtId="0" fontId="7" fillId="0" borderId="1" xfId="2" applyFont="1" applyFill="1" applyBorder="1" applyAlignment="1">
      <alignment vertical="top" wrapText="1"/>
    </xf>
    <xf numFmtId="0" fontId="6" fillId="0" borderId="1" xfId="0" applyFont="1" applyFill="1" applyBorder="1" applyAlignment="1">
      <alignment horizontal="left" vertical="top"/>
    </xf>
    <xf numFmtId="14" fontId="6" fillId="0" borderId="1" xfId="0" applyNumberFormat="1" applyFont="1" applyFill="1" applyBorder="1" applyAlignment="1">
      <alignment horizontal="left" vertical="top"/>
    </xf>
    <xf numFmtId="0" fontId="2" fillId="0" borderId="0" xfId="1" applyNumberFormat="1" applyFont="1" applyFill="1" applyAlignment="1" applyProtection="1">
      <alignment horizontal="centerContinuous" vertical="center"/>
    </xf>
    <xf numFmtId="0" fontId="2" fillId="0" borderId="1" xfId="1" applyFont="1" applyFill="1" applyBorder="1" applyAlignment="1" applyProtection="1">
      <alignment horizontal="centerContinuous" vertical="center"/>
    </xf>
    <xf numFmtId="0" fontId="8" fillId="0" borderId="1" xfId="1" applyFont="1" applyFill="1" applyBorder="1" applyAlignment="1">
      <alignment horizontal="center" vertical="center"/>
    </xf>
    <xf numFmtId="3" fontId="3" fillId="0" borderId="1" xfId="1" quotePrefix="1" applyNumberFormat="1" applyFont="1" applyFill="1" applyBorder="1" applyAlignment="1" applyProtection="1">
      <alignment horizontal="right" vertical="center"/>
    </xf>
    <xf numFmtId="0" fontId="9" fillId="0" borderId="0" xfId="1" applyFont="1" applyFill="1" applyBorder="1" applyAlignment="1">
      <alignment horizontal="right" vertical="center"/>
    </xf>
    <xf numFmtId="0" fontId="10" fillId="0" borderId="0" xfId="1" applyFont="1" applyFill="1" applyBorder="1" applyAlignment="1">
      <alignment horizontal="right" vertical="center"/>
    </xf>
    <xf numFmtId="3" fontId="13" fillId="0" borderId="0" xfId="1" applyNumberFormat="1" applyFont="1" applyFill="1" applyBorder="1" applyAlignment="1" applyProtection="1">
      <alignment horizontal="right" vertical="center"/>
    </xf>
    <xf numFmtId="0" fontId="13" fillId="0" borderId="0" xfId="1" applyFont="1" applyFill="1" applyAlignment="1">
      <alignment vertical="center"/>
    </xf>
    <xf numFmtId="3" fontId="14" fillId="0" borderId="0" xfId="1" applyNumberFormat="1" applyFont="1" applyFill="1" applyAlignment="1">
      <alignment vertical="center"/>
    </xf>
    <xf numFmtId="0" fontId="15" fillId="0" borderId="0" xfId="1" applyFont="1" applyFill="1" applyBorder="1" applyAlignment="1">
      <alignment horizontal="right" vertical="center"/>
    </xf>
    <xf numFmtId="3" fontId="16" fillId="0" borderId="0" xfId="1" applyNumberFormat="1" applyFont="1" applyFill="1" applyBorder="1" applyAlignment="1" applyProtection="1">
      <alignment horizontal="right" vertical="center"/>
    </xf>
    <xf numFmtId="3" fontId="16" fillId="0" borderId="0" xfId="1" applyNumberFormat="1" applyFont="1" applyFill="1" applyAlignment="1">
      <alignment horizontal="right" vertical="center"/>
    </xf>
    <xf numFmtId="3" fontId="17" fillId="0" borderId="0" xfId="1" applyNumberFormat="1" applyFont="1" applyFill="1" applyBorder="1" applyAlignment="1" applyProtection="1">
      <alignment horizontal="right" vertical="center"/>
    </xf>
    <xf numFmtId="3" fontId="17" fillId="0" borderId="0" xfId="1" applyNumberFormat="1" applyFont="1" applyFill="1" applyAlignment="1">
      <alignment horizontal="right" vertical="center"/>
    </xf>
    <xf numFmtId="3" fontId="11" fillId="0" borderId="0" xfId="1" applyNumberFormat="1" applyFont="1" applyFill="1" applyBorder="1" applyAlignment="1" applyProtection="1">
      <alignment horizontal="right" vertical="center"/>
    </xf>
    <xf numFmtId="0" fontId="3" fillId="0" borderId="0" xfId="1" applyFont="1" applyFill="1" applyBorder="1" applyAlignment="1" applyProtection="1">
      <alignment horizontal="right" vertical="center"/>
    </xf>
    <xf numFmtId="3" fontId="12" fillId="0" borderId="0" xfId="1" applyNumberFormat="1" applyFont="1" applyFill="1" applyBorder="1" applyAlignment="1" applyProtection="1">
      <alignment horizontal="right" vertical="center"/>
    </xf>
    <xf numFmtId="164" fontId="3" fillId="0" borderId="0" xfId="3" applyNumberFormat="1" applyFont="1" applyFill="1" applyBorder="1" applyAlignment="1" applyProtection="1">
      <alignment vertical="center"/>
    </xf>
    <xf numFmtId="164" fontId="1" fillId="0" borderId="0" xfId="3" applyNumberFormat="1" applyFont="1" applyFill="1" applyAlignment="1">
      <alignment vertical="center"/>
    </xf>
    <xf numFmtId="3" fontId="1" fillId="0" borderId="1" xfId="1" applyNumberFormat="1" applyFont="1" applyFill="1" applyBorder="1" applyAlignment="1">
      <alignment horizontal="right" vertical="center"/>
    </xf>
    <xf numFmtId="3" fontId="2" fillId="0" borderId="1" xfId="0" applyNumberFormat="1" applyFont="1" applyFill="1" applyBorder="1" applyAlignment="1">
      <alignment horizontal="right" vertical="center"/>
    </xf>
    <xf numFmtId="3" fontId="3" fillId="0" borderId="0" xfId="1" applyNumberFormat="1" applyFont="1" applyFill="1" applyAlignment="1" applyProtection="1">
      <alignment vertical="center"/>
    </xf>
    <xf numFmtId="0" fontId="2" fillId="0" borderId="1" xfId="0" applyFont="1" applyFill="1" applyBorder="1" applyAlignment="1">
      <alignment horizontal="centerContinuous" vertical="center"/>
    </xf>
    <xf numFmtId="0" fontId="2" fillId="0" borderId="1" xfId="0" applyFont="1" applyFill="1" applyBorder="1" applyAlignment="1">
      <alignment horizontal="center" vertical="center"/>
    </xf>
    <xf numFmtId="3" fontId="1" fillId="0" borderId="0" xfId="1" applyNumberFormat="1" applyFont="1" applyFill="1"/>
    <xf numFmtId="3" fontId="3" fillId="0" borderId="1" xfId="1" applyNumberFormat="1" applyFont="1" applyFill="1" applyBorder="1" applyAlignment="1" applyProtection="1">
      <alignment vertical="center"/>
    </xf>
    <xf numFmtId="165" fontId="3" fillId="0" borderId="1" xfId="1" quotePrefix="1" applyNumberFormat="1" applyFont="1" applyFill="1" applyBorder="1" applyAlignment="1" applyProtection="1">
      <alignment horizontal="right" vertical="center"/>
    </xf>
    <xf numFmtId="165" fontId="3" fillId="0" borderId="1" xfId="1" applyNumberFormat="1" applyFont="1" applyFill="1" applyBorder="1" applyAlignment="1" applyProtection="1">
      <alignment horizontal="right" vertical="center"/>
    </xf>
    <xf numFmtId="0" fontId="18" fillId="0" borderId="0" xfId="1" applyFont="1" applyFill="1" applyBorder="1" applyAlignment="1" applyProtection="1">
      <alignment horizontal="right" vertical="center" wrapText="1"/>
    </xf>
    <xf numFmtId="0" fontId="19" fillId="0" borderId="0" xfId="0" applyFont="1" applyFill="1" applyAlignment="1">
      <alignment horizontal="right" vertical="center" wrapText="1"/>
    </xf>
    <xf numFmtId="0" fontId="2" fillId="0" borderId="0" xfId="1" applyNumberFormat="1" applyFont="1" applyFill="1" applyAlignment="1" applyProtection="1">
      <alignment horizontal="left" vertical="center"/>
    </xf>
  </cellXfs>
  <cellStyles count="4">
    <cellStyle name="Comma" xfId="3" builtinId="3"/>
    <cellStyle name="Hyperlink" xfId="2" builtinId="8"/>
    <cellStyle name="Normal" xfId="0" builtinId="0"/>
    <cellStyle name="Normal_7"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deps.gov.bn/edata-library/" TargetMode="External"/><Relationship Id="rId1" Type="http://schemas.openxmlformats.org/officeDocument/2006/relationships/hyperlink" Target="https://www.deps.gov.bn/terms-of-u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A809E-0D10-4C32-B63A-5D555F8BCEA9}">
  <dimension ref="B2:C13"/>
  <sheetViews>
    <sheetView zoomScaleNormal="100" workbookViewId="0">
      <selection activeCell="C10" sqref="C10"/>
    </sheetView>
  </sheetViews>
  <sheetFormatPr defaultColWidth="8.7109375" defaultRowHeight="15" x14ac:dyDescent="0.2"/>
  <cols>
    <col min="1" max="1" width="4.140625" style="17" customWidth="1"/>
    <col min="2" max="2" width="52.7109375" style="17" customWidth="1"/>
    <col min="3" max="3" width="103.85546875" style="17" customWidth="1"/>
    <col min="4" max="16384" width="8.7109375" style="17"/>
  </cols>
  <sheetData>
    <row r="2" spans="2:3" x14ac:dyDescent="0.2">
      <c r="B2" s="15" t="s">
        <v>10</v>
      </c>
      <c r="C2" s="16" t="s">
        <v>32</v>
      </c>
    </row>
    <row r="3" spans="2:3" ht="83.1" customHeight="1" x14ac:dyDescent="0.2">
      <c r="B3" s="15" t="s">
        <v>11</v>
      </c>
      <c r="C3" s="18" t="s">
        <v>26</v>
      </c>
    </row>
    <row r="4" spans="2:3" ht="30" x14ac:dyDescent="0.2">
      <c r="B4" s="15" t="s">
        <v>12</v>
      </c>
      <c r="C4" s="19" t="s">
        <v>33</v>
      </c>
    </row>
    <row r="5" spans="2:3" ht="34.5" customHeight="1" x14ac:dyDescent="0.2">
      <c r="B5" s="15" t="s">
        <v>13</v>
      </c>
      <c r="C5" s="20" t="s">
        <v>27</v>
      </c>
    </row>
    <row r="6" spans="2:3" ht="50.1" customHeight="1" x14ac:dyDescent="0.2">
      <c r="B6" s="15" t="s">
        <v>14</v>
      </c>
      <c r="C6" s="21" t="s">
        <v>25</v>
      </c>
    </row>
    <row r="7" spans="2:3" ht="30" x14ac:dyDescent="0.2">
      <c r="B7" s="15" t="s">
        <v>15</v>
      </c>
      <c r="C7" s="20" t="s">
        <v>16</v>
      </c>
    </row>
    <row r="8" spans="2:3" ht="30" customHeight="1" x14ac:dyDescent="0.2">
      <c r="B8" s="15" t="s">
        <v>17</v>
      </c>
      <c r="C8" s="22" t="s">
        <v>18</v>
      </c>
    </row>
    <row r="9" spans="2:3" ht="30" customHeight="1" x14ac:dyDescent="0.2">
      <c r="B9" s="15" t="s">
        <v>19</v>
      </c>
      <c r="C9" s="16" t="s">
        <v>34</v>
      </c>
    </row>
    <row r="10" spans="2:3" ht="30" customHeight="1" x14ac:dyDescent="0.2">
      <c r="B10" s="15" t="s">
        <v>20</v>
      </c>
      <c r="C10" s="23" t="s">
        <v>37</v>
      </c>
    </row>
    <row r="11" spans="2:3" ht="30" x14ac:dyDescent="0.2">
      <c r="B11" s="15" t="s">
        <v>21</v>
      </c>
      <c r="C11" s="19" t="s">
        <v>22</v>
      </c>
    </row>
    <row r="12" spans="2:3" ht="30" customHeight="1" x14ac:dyDescent="0.2">
      <c r="B12" s="15" t="s">
        <v>23</v>
      </c>
      <c r="C12" s="23" t="s">
        <v>36</v>
      </c>
    </row>
    <row r="13" spans="2:3" ht="33" customHeight="1" x14ac:dyDescent="0.2">
      <c r="B13" s="24" t="s">
        <v>24</v>
      </c>
      <c r="C13" s="25" t="s">
        <v>35</v>
      </c>
    </row>
  </sheetData>
  <hyperlinks>
    <hyperlink ref="C12" r:id="rId1" xr:uid="{D8BACEAB-FEFA-47C7-9FAA-5BA395217D3E}"/>
    <hyperlink ref="C10" r:id="rId2" xr:uid="{2346C862-70E4-4E1A-9828-7F62EA6384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FDD4A-5BC5-47A3-8C85-21F7DC864AC5}">
  <dimension ref="A1:CK293"/>
  <sheetViews>
    <sheetView tabSelected="1" zoomScale="70" zoomScaleNormal="70" workbookViewId="0">
      <selection activeCell="BK13" sqref="BK13"/>
    </sheetView>
  </sheetViews>
  <sheetFormatPr defaultColWidth="12.5703125" defaultRowHeight="15" x14ac:dyDescent="0.2"/>
  <cols>
    <col min="1" max="1" width="38.5703125" style="1" customWidth="1"/>
    <col min="2" max="89" width="11.7109375" style="1" customWidth="1"/>
    <col min="90" max="16384" width="12.5703125" style="1"/>
  </cols>
  <sheetData>
    <row r="1" spans="1:89" ht="16.5" customHeight="1" x14ac:dyDescent="0.2">
      <c r="A1" s="56" t="s">
        <v>32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row>
    <row r="2" spans="1:89" ht="16.5" customHeight="1"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row>
    <row r="3" spans="1:89" ht="16.5" customHeight="1" x14ac:dyDescent="0.2">
      <c r="A3" s="8"/>
      <c r="B3" s="48">
        <v>2005</v>
      </c>
      <c r="C3" s="48"/>
      <c r="D3" s="48"/>
      <c r="E3" s="48"/>
      <c r="F3" s="48">
        <v>2006</v>
      </c>
      <c r="G3" s="48"/>
      <c r="H3" s="48"/>
      <c r="I3" s="48"/>
      <c r="J3" s="48">
        <v>2007</v>
      </c>
      <c r="K3" s="48"/>
      <c r="L3" s="48"/>
      <c r="M3" s="48"/>
      <c r="N3" s="48">
        <v>2008</v>
      </c>
      <c r="O3" s="48"/>
      <c r="P3" s="48"/>
      <c r="Q3" s="48"/>
      <c r="R3" s="27">
        <v>2009</v>
      </c>
      <c r="S3" s="27"/>
      <c r="T3" s="27"/>
      <c r="U3" s="27"/>
      <c r="V3" s="27">
        <v>2010</v>
      </c>
      <c r="W3" s="27"/>
      <c r="X3" s="27"/>
      <c r="Y3" s="27"/>
      <c r="Z3" s="27">
        <v>2011</v>
      </c>
      <c r="AA3" s="27"/>
      <c r="AB3" s="27"/>
      <c r="AC3" s="27"/>
      <c r="AD3" s="27">
        <v>2012</v>
      </c>
      <c r="AE3" s="27"/>
      <c r="AF3" s="27"/>
      <c r="AG3" s="27"/>
      <c r="AH3" s="27">
        <v>2013</v>
      </c>
      <c r="AI3" s="27"/>
      <c r="AJ3" s="27"/>
      <c r="AK3" s="27"/>
      <c r="AL3" s="27">
        <v>2014</v>
      </c>
      <c r="AM3" s="27"/>
      <c r="AN3" s="27"/>
      <c r="AO3" s="27"/>
      <c r="AP3" s="27">
        <v>2015</v>
      </c>
      <c r="AQ3" s="27"/>
      <c r="AR3" s="27"/>
      <c r="AS3" s="27"/>
      <c r="AT3" s="27">
        <v>2016</v>
      </c>
      <c r="AU3" s="27"/>
      <c r="AV3" s="27"/>
      <c r="AW3" s="27"/>
      <c r="AX3" s="27">
        <v>2017</v>
      </c>
      <c r="AY3" s="27"/>
      <c r="AZ3" s="27"/>
      <c r="BA3" s="27"/>
      <c r="BB3" s="27">
        <v>2018</v>
      </c>
      <c r="BC3" s="27"/>
      <c r="BD3" s="27"/>
      <c r="BE3" s="27"/>
      <c r="BF3" s="27">
        <v>2019</v>
      </c>
      <c r="BG3" s="27"/>
      <c r="BH3" s="27"/>
      <c r="BI3" s="27"/>
      <c r="BJ3" s="27">
        <v>2020</v>
      </c>
      <c r="BK3" s="27"/>
      <c r="BL3" s="27"/>
      <c r="BM3" s="27"/>
      <c r="BN3" s="27">
        <v>2021</v>
      </c>
      <c r="BO3" s="27"/>
      <c r="BP3" s="27"/>
      <c r="BQ3" s="27"/>
      <c r="BR3" s="27">
        <v>2022</v>
      </c>
      <c r="BS3" s="27"/>
      <c r="BT3" s="27"/>
      <c r="BU3" s="27"/>
      <c r="BV3" s="27">
        <v>2023</v>
      </c>
      <c r="BW3" s="27"/>
      <c r="BX3" s="27"/>
      <c r="BY3" s="27"/>
      <c r="BZ3" s="27">
        <v>2024</v>
      </c>
      <c r="CA3" s="27"/>
      <c r="CB3" s="27"/>
      <c r="CC3" s="27"/>
      <c r="CD3" s="27">
        <v>2025</v>
      </c>
      <c r="CE3" s="27"/>
      <c r="CF3" s="27"/>
      <c r="CG3" s="27"/>
      <c r="CH3" s="27">
        <v>2026</v>
      </c>
      <c r="CI3" s="27"/>
      <c r="CJ3" s="27"/>
      <c r="CK3" s="27"/>
    </row>
    <row r="4" spans="1:89" ht="16.5" customHeight="1" x14ac:dyDescent="0.2">
      <c r="A4" s="9" t="s">
        <v>0</v>
      </c>
      <c r="B4" s="28" t="s">
        <v>28</v>
      </c>
      <c r="C4" s="28" t="s">
        <v>29</v>
      </c>
      <c r="D4" s="28" t="s">
        <v>30</v>
      </c>
      <c r="E4" s="28" t="s">
        <v>31</v>
      </c>
      <c r="F4" s="49" t="s">
        <v>28</v>
      </c>
      <c r="G4" s="49" t="s">
        <v>29</v>
      </c>
      <c r="H4" s="49" t="s">
        <v>30</v>
      </c>
      <c r="I4" s="49" t="s">
        <v>31</v>
      </c>
      <c r="J4" s="28" t="s">
        <v>28</v>
      </c>
      <c r="K4" s="28" t="s">
        <v>29</v>
      </c>
      <c r="L4" s="28" t="s">
        <v>30</v>
      </c>
      <c r="M4" s="28" t="s">
        <v>31</v>
      </c>
      <c r="N4" s="28" t="s">
        <v>28</v>
      </c>
      <c r="O4" s="28" t="s">
        <v>29</v>
      </c>
      <c r="P4" s="28" t="s">
        <v>30</v>
      </c>
      <c r="Q4" s="28" t="s">
        <v>31</v>
      </c>
      <c r="R4" s="28" t="s">
        <v>28</v>
      </c>
      <c r="S4" s="28" t="s">
        <v>29</v>
      </c>
      <c r="T4" s="28" t="s">
        <v>30</v>
      </c>
      <c r="U4" s="28" t="s">
        <v>31</v>
      </c>
      <c r="V4" s="28" t="s">
        <v>28</v>
      </c>
      <c r="W4" s="28" t="s">
        <v>29</v>
      </c>
      <c r="X4" s="28" t="s">
        <v>30</v>
      </c>
      <c r="Y4" s="28" t="s">
        <v>31</v>
      </c>
      <c r="Z4" s="28" t="s">
        <v>28</v>
      </c>
      <c r="AA4" s="28" t="s">
        <v>29</v>
      </c>
      <c r="AB4" s="28" t="s">
        <v>30</v>
      </c>
      <c r="AC4" s="28" t="s">
        <v>31</v>
      </c>
      <c r="AD4" s="28" t="s">
        <v>28</v>
      </c>
      <c r="AE4" s="28" t="s">
        <v>29</v>
      </c>
      <c r="AF4" s="28" t="s">
        <v>30</v>
      </c>
      <c r="AG4" s="28" t="s">
        <v>31</v>
      </c>
      <c r="AH4" s="28" t="s">
        <v>28</v>
      </c>
      <c r="AI4" s="28" t="s">
        <v>29</v>
      </c>
      <c r="AJ4" s="28" t="s">
        <v>30</v>
      </c>
      <c r="AK4" s="28" t="s">
        <v>31</v>
      </c>
      <c r="AL4" s="28" t="s">
        <v>28</v>
      </c>
      <c r="AM4" s="28" t="s">
        <v>29</v>
      </c>
      <c r="AN4" s="28" t="s">
        <v>30</v>
      </c>
      <c r="AO4" s="28" t="s">
        <v>31</v>
      </c>
      <c r="AP4" s="28" t="s">
        <v>28</v>
      </c>
      <c r="AQ4" s="28" t="s">
        <v>29</v>
      </c>
      <c r="AR4" s="28" t="s">
        <v>30</v>
      </c>
      <c r="AS4" s="28" t="s">
        <v>31</v>
      </c>
      <c r="AT4" s="28" t="s">
        <v>28</v>
      </c>
      <c r="AU4" s="28" t="s">
        <v>29</v>
      </c>
      <c r="AV4" s="28" t="s">
        <v>30</v>
      </c>
      <c r="AW4" s="28" t="s">
        <v>31</v>
      </c>
      <c r="AX4" s="28" t="s">
        <v>28</v>
      </c>
      <c r="AY4" s="28" t="s">
        <v>29</v>
      </c>
      <c r="AZ4" s="28" t="s">
        <v>30</v>
      </c>
      <c r="BA4" s="28" t="s">
        <v>31</v>
      </c>
      <c r="BB4" s="28" t="s">
        <v>28</v>
      </c>
      <c r="BC4" s="28" t="s">
        <v>29</v>
      </c>
      <c r="BD4" s="28" t="s">
        <v>30</v>
      </c>
      <c r="BE4" s="28" t="s">
        <v>31</v>
      </c>
      <c r="BF4" s="28" t="s">
        <v>28</v>
      </c>
      <c r="BG4" s="28" t="s">
        <v>29</v>
      </c>
      <c r="BH4" s="28" t="s">
        <v>30</v>
      </c>
      <c r="BI4" s="28" t="s">
        <v>31</v>
      </c>
      <c r="BJ4" s="28" t="s">
        <v>28</v>
      </c>
      <c r="BK4" s="28" t="s">
        <v>29</v>
      </c>
      <c r="BL4" s="28" t="s">
        <v>30</v>
      </c>
      <c r="BM4" s="28" t="s">
        <v>31</v>
      </c>
      <c r="BN4" s="28" t="s">
        <v>28</v>
      </c>
      <c r="BO4" s="28" t="s">
        <v>29</v>
      </c>
      <c r="BP4" s="28" t="s">
        <v>30</v>
      </c>
      <c r="BQ4" s="28" t="s">
        <v>31</v>
      </c>
      <c r="BR4" s="28" t="s">
        <v>28</v>
      </c>
      <c r="BS4" s="28" t="s">
        <v>29</v>
      </c>
      <c r="BT4" s="28" t="s">
        <v>30</v>
      </c>
      <c r="BU4" s="28" t="s">
        <v>31</v>
      </c>
      <c r="BV4" s="28" t="s">
        <v>28</v>
      </c>
      <c r="BW4" s="28" t="s">
        <v>29</v>
      </c>
      <c r="BX4" s="28" t="s">
        <v>30</v>
      </c>
      <c r="BY4" s="28" t="s">
        <v>31</v>
      </c>
      <c r="BZ4" s="28" t="s">
        <v>28</v>
      </c>
      <c r="CA4" s="28" t="s">
        <v>29</v>
      </c>
      <c r="CB4" s="28" t="s">
        <v>30</v>
      </c>
      <c r="CC4" s="28" t="s">
        <v>31</v>
      </c>
      <c r="CD4" s="28" t="s">
        <v>28</v>
      </c>
      <c r="CE4" s="28" t="s">
        <v>29</v>
      </c>
      <c r="CF4" s="28" t="s">
        <v>30</v>
      </c>
      <c r="CG4" s="28" t="s">
        <v>31</v>
      </c>
      <c r="CH4" s="28" t="s">
        <v>28</v>
      </c>
      <c r="CI4" s="28" t="s">
        <v>29</v>
      </c>
      <c r="CJ4" s="28" t="s">
        <v>30</v>
      </c>
      <c r="CK4" s="28" t="s">
        <v>31</v>
      </c>
    </row>
    <row r="5" spans="1:89" ht="16.5" customHeight="1" x14ac:dyDescent="0.2">
      <c r="A5" s="10" t="s">
        <v>1</v>
      </c>
      <c r="B5" s="14">
        <v>2312</v>
      </c>
      <c r="C5" s="14">
        <v>2365</v>
      </c>
      <c r="D5" s="14">
        <v>2395</v>
      </c>
      <c r="E5" s="14">
        <v>2431</v>
      </c>
      <c r="F5" s="14">
        <v>2409</v>
      </c>
      <c r="G5" s="14">
        <v>2540</v>
      </c>
      <c r="H5" s="14">
        <v>2734</v>
      </c>
      <c r="I5" s="14">
        <v>2870</v>
      </c>
      <c r="J5" s="14">
        <v>2681</v>
      </c>
      <c r="K5" s="14">
        <v>2737</v>
      </c>
      <c r="L5" s="14">
        <v>2733</v>
      </c>
      <c r="M5" s="14">
        <v>2989</v>
      </c>
      <c r="N5" s="14">
        <v>3275</v>
      </c>
      <c r="O5" s="14">
        <v>3120</v>
      </c>
      <c r="P5" s="14">
        <v>3146</v>
      </c>
      <c r="Q5" s="14">
        <v>2845</v>
      </c>
      <c r="R5" s="14">
        <v>2917</v>
      </c>
      <c r="S5" s="14">
        <v>2951</v>
      </c>
      <c r="T5" s="14">
        <v>2911</v>
      </c>
      <c r="U5" s="14">
        <v>3242</v>
      </c>
      <c r="V5" s="14">
        <v>3178</v>
      </c>
      <c r="W5" s="14">
        <v>3401</v>
      </c>
      <c r="X5" s="14">
        <v>3495</v>
      </c>
      <c r="Y5" s="14">
        <v>3478</v>
      </c>
      <c r="Z5" s="14">
        <v>3185</v>
      </c>
      <c r="AA5" s="14">
        <v>3385</v>
      </c>
      <c r="AB5" s="14">
        <v>3315</v>
      </c>
      <c r="AC5" s="14">
        <v>3031</v>
      </c>
      <c r="AD5" s="14">
        <f>991+1036+1117</f>
        <v>3144</v>
      </c>
      <c r="AE5" s="14">
        <f>1125+797+1128</f>
        <v>3050</v>
      </c>
      <c r="AF5" s="14">
        <f>1153+1168+1108</f>
        <v>3429</v>
      </c>
      <c r="AG5" s="14">
        <f>1146+1097+1172</f>
        <v>3415</v>
      </c>
      <c r="AH5" s="14">
        <f>1121+1044+1131</f>
        <v>3296</v>
      </c>
      <c r="AI5" s="14">
        <f>1099+1147+1115</f>
        <v>3361</v>
      </c>
      <c r="AJ5" s="14">
        <f>1089+1101+1065</f>
        <v>3255</v>
      </c>
      <c r="AK5" s="14">
        <f>1076+1050+1086</f>
        <v>3212</v>
      </c>
      <c r="AL5" s="14">
        <f>1080+978+1086</f>
        <v>3144</v>
      </c>
      <c r="AM5" s="14">
        <f>1057+1096+1087</f>
        <v>3240</v>
      </c>
      <c r="AN5" s="14">
        <f>1137+1111+1049</f>
        <v>3297</v>
      </c>
      <c r="AO5" s="14">
        <f>1073+1096+1139</f>
        <v>3308</v>
      </c>
      <c r="AP5" s="14">
        <f>1134+1038+1134</f>
        <v>3306</v>
      </c>
      <c r="AQ5" s="14">
        <f>1083+1071+1048</f>
        <v>3202</v>
      </c>
      <c r="AR5" s="14">
        <f>1091+1102+1047</f>
        <v>3240</v>
      </c>
      <c r="AS5" s="14">
        <f>1058+1044+1140</f>
        <v>3242</v>
      </c>
      <c r="AT5" s="14">
        <f>1114+1047+1122</f>
        <v>3283</v>
      </c>
      <c r="AU5" s="14">
        <f>1091+1102+1064</f>
        <v>3257</v>
      </c>
      <c r="AV5" s="14">
        <f>1048+1047+1076</f>
        <v>3171</v>
      </c>
      <c r="AW5" s="14">
        <f>1108+1045+1136</f>
        <v>3289</v>
      </c>
      <c r="AX5" s="14">
        <f>1131+1008+1162</f>
        <v>3301</v>
      </c>
      <c r="AY5" s="14">
        <f>1089+1091+1038</f>
        <v>3218</v>
      </c>
      <c r="AZ5" s="14">
        <f>1130+1110+1101</f>
        <v>3341</v>
      </c>
      <c r="BA5" s="14">
        <f>1084+1087+1175</f>
        <v>3346</v>
      </c>
      <c r="BB5" s="14">
        <f>1174+1055+1165</f>
        <v>3394</v>
      </c>
      <c r="BC5" s="14">
        <f>1108+1077+1114</f>
        <v>3299</v>
      </c>
      <c r="BD5" s="14">
        <f>1151+1163+1157</f>
        <v>3471</v>
      </c>
      <c r="BE5" s="14">
        <f>1177+1208+1347</f>
        <v>3732</v>
      </c>
      <c r="BF5" s="14">
        <f>1332+1278+1396</f>
        <v>4006</v>
      </c>
      <c r="BG5" s="14">
        <f>1373+1373+1391</f>
        <v>4137</v>
      </c>
      <c r="BH5" s="14">
        <f>1456+1471+1444</f>
        <v>4371</v>
      </c>
      <c r="BI5" s="14">
        <f>1441+1620+1748</f>
        <v>4809</v>
      </c>
      <c r="BJ5" s="14">
        <f>1762+1469+886</f>
        <v>4117</v>
      </c>
      <c r="BK5" s="14">
        <f>96+89+101</f>
        <v>286</v>
      </c>
      <c r="BL5" s="14">
        <f>99+108+114</f>
        <v>321</v>
      </c>
      <c r="BM5" s="14">
        <f>108+149+143</f>
        <v>400</v>
      </c>
      <c r="BN5" s="14">
        <f>139+121+177</f>
        <v>437</v>
      </c>
      <c r="BO5" s="14">
        <f>166+155+173</f>
        <v>494</v>
      </c>
      <c r="BP5" s="14">
        <f>177+202+173</f>
        <v>552</v>
      </c>
      <c r="BQ5" s="14">
        <f>177+176+176</f>
        <v>529</v>
      </c>
      <c r="BR5" s="14">
        <f>168+163+247</f>
        <v>578</v>
      </c>
      <c r="BS5" s="14">
        <f>237+340+340</f>
        <v>917</v>
      </c>
      <c r="BT5" s="14">
        <f>507+538+581</f>
        <v>1626</v>
      </c>
      <c r="BU5" s="14">
        <f>603+646+778</f>
        <v>2027</v>
      </c>
      <c r="BV5" s="14">
        <f>808+670+784</f>
        <v>2262</v>
      </c>
      <c r="BW5" s="14">
        <f>780+753+792</f>
        <v>2325</v>
      </c>
      <c r="BX5" s="14">
        <f>852+838+807</f>
        <v>2497</v>
      </c>
      <c r="BY5" s="14">
        <f>833+827+926</f>
        <v>2586</v>
      </c>
      <c r="BZ5" s="14">
        <f>921+844+938</f>
        <v>2703</v>
      </c>
      <c r="CA5" s="14">
        <f>896+948+925</f>
        <v>2769</v>
      </c>
      <c r="CB5" s="14">
        <f>943+1004+990</f>
        <v>2937</v>
      </c>
      <c r="CC5" s="14">
        <v>2921</v>
      </c>
      <c r="CD5" s="14">
        <f>970+897+948</f>
        <v>2815</v>
      </c>
      <c r="CE5" s="14">
        <f>951+1025+1007</f>
        <v>2983</v>
      </c>
      <c r="CF5" s="14">
        <f>1029+1060+1004</f>
        <v>3093</v>
      </c>
      <c r="CG5" s="14">
        <f>1068+1008+1075</f>
        <v>3151</v>
      </c>
      <c r="CH5" s="14">
        <f>1011+925+1014</f>
        <v>2950</v>
      </c>
      <c r="CI5" s="14">
        <f>966+999+932</f>
        <v>2897</v>
      </c>
      <c r="CJ5" s="14"/>
      <c r="CK5" s="14"/>
    </row>
    <row r="6" spans="1:89" ht="16.5" customHeight="1" x14ac:dyDescent="0.2">
      <c r="A6" s="10" t="s">
        <v>2</v>
      </c>
      <c r="B6" s="14" t="s">
        <v>4</v>
      </c>
      <c r="C6" s="14">
        <v>447</v>
      </c>
      <c r="D6" s="14">
        <v>354</v>
      </c>
      <c r="E6" s="14">
        <v>337</v>
      </c>
      <c r="F6" s="14">
        <v>361</v>
      </c>
      <c r="G6" s="14">
        <v>355</v>
      </c>
      <c r="H6" s="14">
        <v>339</v>
      </c>
      <c r="I6" s="14">
        <v>452</v>
      </c>
      <c r="J6" s="14">
        <v>567</v>
      </c>
      <c r="K6" s="14">
        <v>367</v>
      </c>
      <c r="L6" s="14">
        <v>569</v>
      </c>
      <c r="M6" s="14">
        <v>565</v>
      </c>
      <c r="N6" s="14">
        <v>604</v>
      </c>
      <c r="O6" s="14">
        <v>656</v>
      </c>
      <c r="P6" s="14">
        <v>380</v>
      </c>
      <c r="Q6" s="14">
        <v>407</v>
      </c>
      <c r="R6" s="14">
        <v>663</v>
      </c>
      <c r="S6" s="14">
        <v>554</v>
      </c>
      <c r="T6" s="14">
        <v>826</v>
      </c>
      <c r="U6" s="14">
        <v>782</v>
      </c>
      <c r="V6" s="14">
        <v>605</v>
      </c>
      <c r="W6" s="14">
        <v>1334</v>
      </c>
      <c r="X6" s="14">
        <v>1168</v>
      </c>
      <c r="Y6" s="14">
        <v>1206</v>
      </c>
      <c r="Z6" s="14">
        <v>954</v>
      </c>
      <c r="AA6" s="14">
        <v>767</v>
      </c>
      <c r="AB6" s="14">
        <v>940</v>
      </c>
      <c r="AC6" s="14">
        <v>935</v>
      </c>
      <c r="AD6" s="14">
        <f>68+31+52</f>
        <v>151</v>
      </c>
      <c r="AE6" s="14">
        <f>58+26+93</f>
        <v>177</v>
      </c>
      <c r="AF6" s="14">
        <f>69+60+72</f>
        <v>201</v>
      </c>
      <c r="AG6" s="14">
        <f>52+80+111</f>
        <v>243</v>
      </c>
      <c r="AH6" s="14">
        <f>65+46+59</f>
        <v>170</v>
      </c>
      <c r="AI6" s="14">
        <f>90+40+74</f>
        <v>204</v>
      </c>
      <c r="AJ6" s="14">
        <f>117+77+72</f>
        <v>266</v>
      </c>
      <c r="AK6" s="14">
        <f>129+90+95</f>
        <v>314</v>
      </c>
      <c r="AL6" s="14">
        <f>74+74+82</f>
        <v>230</v>
      </c>
      <c r="AM6" s="14">
        <f>41+62+45</f>
        <v>148</v>
      </c>
      <c r="AN6" s="14">
        <f>76+149+89</f>
        <v>314</v>
      </c>
      <c r="AO6" s="14">
        <f>59+67+43</f>
        <v>169</v>
      </c>
      <c r="AP6" s="14">
        <f>82+194+76</f>
        <v>352</v>
      </c>
      <c r="AQ6" s="14">
        <f>85+56+38</f>
        <v>179</v>
      </c>
      <c r="AR6" s="14">
        <f>64+117+81</f>
        <v>262</v>
      </c>
      <c r="AS6" s="14">
        <f>62+48+77</f>
        <v>187</v>
      </c>
      <c r="AT6" s="14">
        <f>69+53+31</f>
        <v>153</v>
      </c>
      <c r="AU6" s="14">
        <f>38+35+24</f>
        <v>97</v>
      </c>
      <c r="AV6" s="14">
        <f>22+42+77</f>
        <v>141</v>
      </c>
      <c r="AW6" s="14">
        <f>44+75+62</f>
        <v>181</v>
      </c>
      <c r="AX6" s="14">
        <f>28+33+45</f>
        <v>106</v>
      </c>
      <c r="AY6" s="14">
        <f>26+53+21</f>
        <v>100</v>
      </c>
      <c r="AZ6" s="14">
        <f>54+59+27</f>
        <v>140</v>
      </c>
      <c r="BA6" s="14">
        <f>118+62+49</f>
        <v>229</v>
      </c>
      <c r="BB6" s="14">
        <f>43+53+79</f>
        <v>175</v>
      </c>
      <c r="BC6" s="14">
        <f>42+47+53</f>
        <v>142</v>
      </c>
      <c r="BD6" s="14">
        <f>45+59+60</f>
        <v>164</v>
      </c>
      <c r="BE6" s="14">
        <f>51+83+24</f>
        <v>158</v>
      </c>
      <c r="BF6" s="14">
        <f>28+33+113</f>
        <v>174</v>
      </c>
      <c r="BG6" s="14">
        <f>76+50+47</f>
        <v>173</v>
      </c>
      <c r="BH6" s="14">
        <f>26+15+52</f>
        <v>93</v>
      </c>
      <c r="BI6" s="14">
        <f>62+47+75</f>
        <v>184</v>
      </c>
      <c r="BJ6" s="14">
        <f>39+34+55</f>
        <v>128</v>
      </c>
      <c r="BK6" s="14">
        <f>16+18+24</f>
        <v>58</v>
      </c>
      <c r="BL6" s="14">
        <f>47+34+42</f>
        <v>123</v>
      </c>
      <c r="BM6" s="14">
        <f>54+33+56</f>
        <v>143</v>
      </c>
      <c r="BN6" s="14">
        <f>43+47+54</f>
        <v>144</v>
      </c>
      <c r="BO6" s="14">
        <f>28+86+50</f>
        <v>164</v>
      </c>
      <c r="BP6" s="14">
        <f>40+26+50</f>
        <v>116</v>
      </c>
      <c r="BQ6" s="14">
        <f>51+75+82</f>
        <v>208</v>
      </c>
      <c r="BR6" s="14">
        <f>81+115+88</f>
        <v>284</v>
      </c>
      <c r="BS6" s="14">
        <f>91+93+62</f>
        <v>246</v>
      </c>
      <c r="BT6" s="14">
        <f>99+171+101</f>
        <v>371</v>
      </c>
      <c r="BU6" s="14">
        <f>107+58+31</f>
        <v>196</v>
      </c>
      <c r="BV6" s="14">
        <f>90+52+107</f>
        <v>249</v>
      </c>
      <c r="BW6" s="14">
        <f>55+72+64</f>
        <v>191</v>
      </c>
      <c r="BX6" s="14">
        <f>60+57+50</f>
        <v>167</v>
      </c>
      <c r="BY6" s="14">
        <f>66+43+32</f>
        <v>141</v>
      </c>
      <c r="BZ6" s="14">
        <f>101+95+77</f>
        <v>273</v>
      </c>
      <c r="CA6" s="14">
        <f>42+75+59</f>
        <v>176</v>
      </c>
      <c r="CB6" s="14">
        <f>73+47+50</f>
        <v>170</v>
      </c>
      <c r="CC6" s="14">
        <v>195</v>
      </c>
      <c r="CD6" s="14">
        <f>30+46+49</f>
        <v>125</v>
      </c>
      <c r="CE6" s="14">
        <f>42+34+41</f>
        <v>117</v>
      </c>
      <c r="CF6" s="14">
        <f>23+22+45</f>
        <v>90</v>
      </c>
      <c r="CG6" s="14">
        <f>24+61+20</f>
        <v>105</v>
      </c>
      <c r="CH6" s="14">
        <f>19+23+22</f>
        <v>64</v>
      </c>
      <c r="CI6" s="14">
        <f>30+25+70</f>
        <v>125</v>
      </c>
      <c r="CJ6" s="14"/>
      <c r="CK6" s="14"/>
    </row>
    <row r="7" spans="1:89" ht="16.5" customHeight="1" x14ac:dyDescent="0.2">
      <c r="A7" s="11" t="s">
        <v>3</v>
      </c>
      <c r="B7" s="14">
        <v>84</v>
      </c>
      <c r="C7" s="14">
        <v>3</v>
      </c>
      <c r="D7" s="14">
        <v>3</v>
      </c>
      <c r="E7" s="14">
        <v>17</v>
      </c>
      <c r="F7" s="14">
        <v>16</v>
      </c>
      <c r="G7" s="14">
        <v>4</v>
      </c>
      <c r="H7" s="14">
        <v>3</v>
      </c>
      <c r="I7" s="14">
        <v>9</v>
      </c>
      <c r="J7" s="14">
        <v>4</v>
      </c>
      <c r="K7" s="14">
        <v>7</v>
      </c>
      <c r="L7" s="14">
        <v>44</v>
      </c>
      <c r="M7" s="14">
        <v>8</v>
      </c>
      <c r="N7" s="45">
        <v>15</v>
      </c>
      <c r="O7" s="45">
        <v>20</v>
      </c>
      <c r="P7" s="45">
        <v>8</v>
      </c>
      <c r="Q7" s="45">
        <v>20</v>
      </c>
      <c r="R7" s="45">
        <v>10</v>
      </c>
      <c r="S7" s="45">
        <v>11</v>
      </c>
      <c r="T7" s="45" t="s">
        <v>4</v>
      </c>
      <c r="U7" s="45" t="s">
        <v>4</v>
      </c>
      <c r="V7" s="45">
        <v>3</v>
      </c>
      <c r="W7" s="45">
        <v>2</v>
      </c>
      <c r="X7" s="45" t="s">
        <v>4</v>
      </c>
      <c r="Y7" s="45">
        <v>6</v>
      </c>
      <c r="Z7" s="45">
        <v>15</v>
      </c>
      <c r="AA7" s="45">
        <v>10</v>
      </c>
      <c r="AB7" s="45" t="s">
        <v>4</v>
      </c>
      <c r="AC7" s="45">
        <v>4</v>
      </c>
      <c r="AD7" s="29" t="s">
        <v>4</v>
      </c>
      <c r="AE7" s="29" t="s">
        <v>4</v>
      </c>
      <c r="AF7" s="29" t="s">
        <v>4</v>
      </c>
      <c r="AG7" s="29" t="s">
        <v>4</v>
      </c>
      <c r="AH7" s="29" t="s">
        <v>4</v>
      </c>
      <c r="AI7" s="29" t="s">
        <v>4</v>
      </c>
      <c r="AJ7" s="29" t="s">
        <v>4</v>
      </c>
      <c r="AK7" s="29" t="s">
        <v>4</v>
      </c>
      <c r="AL7" s="29" t="s">
        <v>4</v>
      </c>
      <c r="AM7" s="29" t="s">
        <v>4</v>
      </c>
      <c r="AN7" s="29" t="s">
        <v>4</v>
      </c>
      <c r="AO7" s="29" t="s">
        <v>4</v>
      </c>
      <c r="AP7" s="29" t="s">
        <v>4</v>
      </c>
      <c r="AQ7" s="29" t="s">
        <v>4</v>
      </c>
      <c r="AR7" s="29" t="s">
        <v>4</v>
      </c>
      <c r="AS7" s="29" t="s">
        <v>4</v>
      </c>
      <c r="AT7" s="29" t="s">
        <v>4</v>
      </c>
      <c r="AU7" s="29" t="s">
        <v>4</v>
      </c>
      <c r="AV7" s="29" t="s">
        <v>4</v>
      </c>
      <c r="AW7" s="29" t="s">
        <v>4</v>
      </c>
      <c r="AX7" s="29" t="s">
        <v>4</v>
      </c>
      <c r="AY7" s="29" t="s">
        <v>4</v>
      </c>
      <c r="AZ7" s="29" t="s">
        <v>4</v>
      </c>
      <c r="BA7" s="29" t="s">
        <v>4</v>
      </c>
      <c r="BB7" s="29" t="s">
        <v>4</v>
      </c>
      <c r="BC7" s="29" t="s">
        <v>4</v>
      </c>
      <c r="BD7" s="29" t="s">
        <v>4</v>
      </c>
      <c r="BE7" s="29" t="s">
        <v>4</v>
      </c>
      <c r="BF7" s="29" t="s">
        <v>4</v>
      </c>
      <c r="BG7" s="29" t="s">
        <v>4</v>
      </c>
      <c r="BH7" s="29" t="s">
        <v>4</v>
      </c>
      <c r="BI7" s="29" t="s">
        <v>4</v>
      </c>
      <c r="BJ7" s="52">
        <v>0</v>
      </c>
      <c r="BK7" s="52">
        <v>4</v>
      </c>
      <c r="BL7" s="52">
        <v>0</v>
      </c>
      <c r="BM7" s="52">
        <v>0</v>
      </c>
      <c r="BN7" s="53">
        <v>0</v>
      </c>
      <c r="BO7" s="53">
        <v>9</v>
      </c>
      <c r="BP7" s="53">
        <v>0</v>
      </c>
      <c r="BQ7" s="53">
        <v>0</v>
      </c>
      <c r="BR7" s="52" t="s">
        <v>4</v>
      </c>
      <c r="BS7" s="29" t="s">
        <v>4</v>
      </c>
      <c r="BT7" s="29" t="s">
        <v>4</v>
      </c>
      <c r="BU7" s="29" t="s">
        <v>4</v>
      </c>
      <c r="BV7" s="29" t="s">
        <v>4</v>
      </c>
      <c r="BW7" s="29" t="s">
        <v>4</v>
      </c>
      <c r="BX7" s="29" t="s">
        <v>4</v>
      </c>
      <c r="BY7" s="29" t="s">
        <v>4</v>
      </c>
      <c r="BZ7" s="29" t="s">
        <v>4</v>
      </c>
      <c r="CA7" s="29" t="s">
        <v>4</v>
      </c>
      <c r="CB7" s="29" t="s">
        <v>4</v>
      </c>
      <c r="CC7" s="29" t="s">
        <v>4</v>
      </c>
      <c r="CD7" s="29" t="s">
        <v>4</v>
      </c>
      <c r="CE7" s="29" t="s">
        <v>4</v>
      </c>
      <c r="CF7" s="29" t="s">
        <v>4</v>
      </c>
      <c r="CG7" s="29" t="s">
        <v>4</v>
      </c>
      <c r="CH7" s="29" t="s">
        <v>4</v>
      </c>
      <c r="CI7" s="29" t="s">
        <v>4</v>
      </c>
      <c r="CJ7" s="14"/>
      <c r="CK7" s="14"/>
    </row>
    <row r="8" spans="1:89" ht="16.5" customHeight="1" x14ac:dyDescent="0.2">
      <c r="A8" s="12" t="s">
        <v>5</v>
      </c>
      <c r="B8" s="45"/>
      <c r="C8" s="45"/>
      <c r="D8" s="45"/>
      <c r="E8" s="45"/>
      <c r="F8" s="45"/>
      <c r="G8" s="45"/>
      <c r="H8" s="45"/>
      <c r="I8" s="45"/>
      <c r="J8" s="45"/>
      <c r="K8" s="45"/>
      <c r="L8" s="45"/>
      <c r="M8" s="45"/>
      <c r="N8" s="14"/>
      <c r="O8" s="14"/>
      <c r="P8" s="14"/>
      <c r="Q8" s="14"/>
      <c r="R8" s="46"/>
      <c r="S8" s="46"/>
      <c r="T8" s="46"/>
      <c r="U8" s="46"/>
      <c r="V8" s="46"/>
      <c r="W8" s="46"/>
      <c r="X8" s="46"/>
      <c r="Y8" s="46"/>
      <c r="Z8" s="46"/>
      <c r="AA8" s="46"/>
      <c r="AB8" s="46"/>
      <c r="AC8" s="46"/>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row>
    <row r="9" spans="1:89" ht="16.5" customHeight="1" x14ac:dyDescent="0.2">
      <c r="A9" s="10" t="s">
        <v>6</v>
      </c>
      <c r="B9" s="14">
        <v>136553</v>
      </c>
      <c r="C9" s="14">
        <v>122349</v>
      </c>
      <c r="D9" s="14">
        <v>132206</v>
      </c>
      <c r="E9" s="14">
        <v>129915</v>
      </c>
      <c r="F9" s="14">
        <v>129619</v>
      </c>
      <c r="G9" s="14">
        <v>137471</v>
      </c>
      <c r="H9" s="14">
        <v>147596</v>
      </c>
      <c r="I9" s="14">
        <v>149323</v>
      </c>
      <c r="J9" s="14">
        <v>145916</v>
      </c>
      <c r="K9" s="14">
        <v>136965</v>
      </c>
      <c r="L9" s="14">
        <v>149915</v>
      </c>
      <c r="M9" s="51">
        <v>157028</v>
      </c>
      <c r="N9" s="14">
        <v>160793</v>
      </c>
      <c r="O9" s="14">
        <v>146047</v>
      </c>
      <c r="P9" s="14">
        <v>156386</v>
      </c>
      <c r="Q9" s="14">
        <v>169113</v>
      </c>
      <c r="R9" s="14">
        <v>157972</v>
      </c>
      <c r="S9" s="14">
        <v>145708</v>
      </c>
      <c r="T9" s="14">
        <v>138299</v>
      </c>
      <c r="U9" s="14">
        <v>184460</v>
      </c>
      <c r="V9" s="14">
        <v>184128</v>
      </c>
      <c r="W9" s="14">
        <v>177291</v>
      </c>
      <c r="X9" s="14">
        <v>203599</v>
      </c>
      <c r="Y9" s="14">
        <v>216290</v>
      </c>
      <c r="Z9" s="14">
        <v>209518</v>
      </c>
      <c r="AA9" s="14">
        <v>216333</v>
      </c>
      <c r="AB9" s="14">
        <v>212944</v>
      </c>
      <c r="AC9" s="14">
        <v>176103</v>
      </c>
      <c r="AD9" s="14">
        <f>62238+59395+59709</f>
        <v>181342</v>
      </c>
      <c r="AE9" s="14">
        <f>55682+51751+64541</f>
        <v>171974</v>
      </c>
      <c r="AF9" s="14">
        <f>63199+59281+51801</f>
        <v>174281</v>
      </c>
      <c r="AG9" s="14">
        <f>57032+57539+72860</f>
        <v>187431</v>
      </c>
      <c r="AH9" s="14">
        <f>67792+58289+69721</f>
        <v>195802</v>
      </c>
      <c r="AI9" s="14">
        <f>55390+51836+71578</f>
        <v>178804</v>
      </c>
      <c r="AJ9" s="14">
        <f>61990+64406+54551</f>
        <v>180947</v>
      </c>
      <c r="AK9" s="14">
        <f>56547+55919+71442</f>
        <v>183908</v>
      </c>
      <c r="AL9" s="14">
        <f>66014+54321+60627</f>
        <v>180962</v>
      </c>
      <c r="AM9" s="14">
        <f>51997+51259+64360</f>
        <v>167616</v>
      </c>
      <c r="AN9" s="14">
        <f>68191+60968+54763</f>
        <v>183922</v>
      </c>
      <c r="AO9" s="14">
        <f>55865+54823+73908</f>
        <v>184596</v>
      </c>
      <c r="AP9" s="14">
        <f>67004+57792+60490</f>
        <v>185286</v>
      </c>
      <c r="AQ9" s="14">
        <f>63261+60117+58138</f>
        <v>181516</v>
      </c>
      <c r="AR9" s="14">
        <f>63594+60848+59688</f>
        <v>184130</v>
      </c>
      <c r="AS9" s="14">
        <f>51832+55592+74893</f>
        <v>182317</v>
      </c>
      <c r="AT9" s="14">
        <f>67784+59003+61775</f>
        <v>188562</v>
      </c>
      <c r="AU9" s="14">
        <f>63372+59611+55584</f>
        <v>178567</v>
      </c>
      <c r="AV9" s="14">
        <f>67596+61732+60700</f>
        <v>190028</v>
      </c>
      <c r="AW9" s="14">
        <f>54958+54359+72891</f>
        <v>182208</v>
      </c>
      <c r="AX9" s="14">
        <f>71899+54364+65119</f>
        <v>191382</v>
      </c>
      <c r="AY9" s="14">
        <f>65611+60776+57831</f>
        <v>184218</v>
      </c>
      <c r="AZ9" s="14">
        <f>67362+64186+63874</f>
        <v>195422</v>
      </c>
      <c r="BA9" s="14">
        <f>58020+60331+76109</f>
        <v>194460</v>
      </c>
      <c r="BB9" s="14">
        <f>70921+63735+70714</f>
        <v>205370</v>
      </c>
      <c r="BC9" s="14">
        <f>69372+56852+66754</f>
        <v>192978</v>
      </c>
      <c r="BD9" s="14">
        <f>68086+67771+66442</f>
        <v>202299</v>
      </c>
      <c r="BE9" s="14">
        <f>61073+65194+85097</f>
        <v>211364</v>
      </c>
      <c r="BF9" s="14">
        <f>80540+71754+79373</f>
        <v>231667</v>
      </c>
      <c r="BG9" s="14">
        <f>81286+62347+78070</f>
        <v>221703</v>
      </c>
      <c r="BH9" s="14">
        <f>80256+80967+74671</f>
        <v>235894</v>
      </c>
      <c r="BI9" s="14">
        <f>71726+62084+98091</f>
        <v>231901</v>
      </c>
      <c r="BJ9" s="14">
        <f>93635+53041+24892</f>
        <v>171568</v>
      </c>
      <c r="BK9" s="14">
        <f>355+265+559</f>
        <v>1179</v>
      </c>
      <c r="BL9" s="14">
        <f>933+1124+1826</f>
        <v>3883</v>
      </c>
      <c r="BM9" s="14">
        <f>1359+1136+1556</f>
        <v>4051</v>
      </c>
      <c r="BN9" s="14">
        <f>1626+1426+1757</f>
        <v>4809</v>
      </c>
      <c r="BO9" s="14">
        <f>1731+1421+1798</f>
        <v>4950</v>
      </c>
      <c r="BP9" s="14">
        <f>1707+1633+1015</f>
        <v>4355</v>
      </c>
      <c r="BQ9" s="14">
        <f>1131+1609+2486</f>
        <v>5226</v>
      </c>
      <c r="BR9" s="14">
        <f>3300+2867+3309</f>
        <v>9476</v>
      </c>
      <c r="BS9" s="14">
        <f>6054+13816+18486</f>
        <v>38356</v>
      </c>
      <c r="BT9" s="14">
        <f>29576+30972+34170</f>
        <v>94718</v>
      </c>
      <c r="BU9" s="14">
        <v>113231</v>
      </c>
      <c r="BV9" s="14">
        <f>50221+40280+44386</f>
        <v>134887</v>
      </c>
      <c r="BW9" s="14">
        <f>43837+39730+42730</f>
        <v>126297</v>
      </c>
      <c r="BX9" s="14">
        <f>44865+48057+45361</f>
        <v>138283</v>
      </c>
      <c r="BY9" s="14">
        <f>44026+45530+59131</f>
        <v>148687</v>
      </c>
      <c r="BZ9" s="14">
        <f>52394+53510+49226</f>
        <v>155130</v>
      </c>
      <c r="CA9" s="14">
        <f>53298+45080+51576</f>
        <v>149954</v>
      </c>
      <c r="CB9" s="14">
        <f>51579+60429+51882</f>
        <v>163890</v>
      </c>
      <c r="CC9" s="14">
        <f>50431+49860+66557</f>
        <v>166848</v>
      </c>
      <c r="CD9" s="14">
        <f>61599+52398+45021</f>
        <v>159018</v>
      </c>
      <c r="CE9" s="14">
        <f>56554+49850+55710</f>
        <v>162114</v>
      </c>
      <c r="CF9" s="14">
        <f>54377+60686+52557</f>
        <v>167620</v>
      </c>
      <c r="CG9" s="14">
        <f>58880+56953+66943</f>
        <v>182776</v>
      </c>
      <c r="CH9" s="14">
        <f>65861+56133+53582</f>
        <v>175576</v>
      </c>
      <c r="CI9" s="14">
        <f>53931+51522+57220</f>
        <v>162673</v>
      </c>
      <c r="CJ9" s="14"/>
      <c r="CK9" s="14"/>
    </row>
    <row r="10" spans="1:89" ht="16.5" customHeight="1" x14ac:dyDescent="0.2">
      <c r="A10" s="10" t="s">
        <v>7</v>
      </c>
      <c r="B10" s="14">
        <v>115904</v>
      </c>
      <c r="C10" s="14">
        <v>120733</v>
      </c>
      <c r="D10" s="14">
        <v>134171</v>
      </c>
      <c r="E10" s="14">
        <v>134513</v>
      </c>
      <c r="F10" s="14">
        <v>129015</v>
      </c>
      <c r="G10" s="14">
        <v>136141</v>
      </c>
      <c r="H10" s="14">
        <v>149503</v>
      </c>
      <c r="I10" s="14">
        <v>153542</v>
      </c>
      <c r="J10" s="14">
        <v>143999</v>
      </c>
      <c r="K10" s="14">
        <v>138280</v>
      </c>
      <c r="L10" s="14">
        <v>151764</v>
      </c>
      <c r="M10" s="51">
        <v>160334</v>
      </c>
      <c r="N10" s="45">
        <v>159491</v>
      </c>
      <c r="O10" s="45">
        <v>144198</v>
      </c>
      <c r="P10" s="45">
        <v>161729</v>
      </c>
      <c r="Q10" s="45">
        <v>172973</v>
      </c>
      <c r="R10" s="14">
        <v>155606</v>
      </c>
      <c r="S10" s="14">
        <v>146312</v>
      </c>
      <c r="T10" s="14">
        <v>144367</v>
      </c>
      <c r="U10" s="14">
        <v>192550</v>
      </c>
      <c r="V10" s="14">
        <v>174733</v>
      </c>
      <c r="W10" s="14">
        <v>173951</v>
      </c>
      <c r="X10" s="14">
        <v>205322</v>
      </c>
      <c r="Y10" s="14">
        <v>223330</v>
      </c>
      <c r="Z10" s="14">
        <v>203651</v>
      </c>
      <c r="AA10" s="14">
        <v>211808</v>
      </c>
      <c r="AB10" s="14">
        <v>214520</v>
      </c>
      <c r="AC10" s="14">
        <v>178605</v>
      </c>
      <c r="AD10" s="14">
        <f>54496+53991+60902</f>
        <v>169389</v>
      </c>
      <c r="AE10" s="14">
        <f>53332+52769+61906</f>
        <v>168007</v>
      </c>
      <c r="AF10" s="14">
        <f>63061+60296+52187</f>
        <v>175544</v>
      </c>
      <c r="AG10" s="14">
        <f>57553+60680+73921</f>
        <v>192154</v>
      </c>
      <c r="AH10" s="14">
        <f>60133+59644+67900</f>
        <v>187677</v>
      </c>
      <c r="AI10" s="14">
        <f>53410+54119+67842</f>
        <v>175371</v>
      </c>
      <c r="AJ10" s="14">
        <f>64156+64610+54086</f>
        <v>182852</v>
      </c>
      <c r="AK10" s="14">
        <f>57607+58179+74163</f>
        <v>189949</v>
      </c>
      <c r="AL10" s="14">
        <f>60969+53757+60103</f>
        <v>174829</v>
      </c>
      <c r="AM10" s="14">
        <f>50954+54280+61832</f>
        <v>167066</v>
      </c>
      <c r="AN10" s="14">
        <f>70794+56220+55263</f>
        <v>182277</v>
      </c>
      <c r="AO10" s="14">
        <f>56392+57850+78455</f>
        <v>192697</v>
      </c>
      <c r="AP10" s="14">
        <f>59804+60002+65473</f>
        <v>185279</v>
      </c>
      <c r="AQ10" s="14">
        <f>57643+63500+60259</f>
        <v>181402</v>
      </c>
      <c r="AR10" s="14">
        <f>67596+56190+59460</f>
        <v>183246</v>
      </c>
      <c r="AS10" s="14">
        <f>52286+57806+79991</f>
        <v>190083</v>
      </c>
      <c r="AT10" s="14">
        <f>59612+59213+66531</f>
        <v>185356</v>
      </c>
      <c r="AU10" s="14">
        <f>57772+61944+58254</f>
        <v>177970</v>
      </c>
      <c r="AV10" s="14">
        <f>66265+58441+63174</f>
        <v>187880</v>
      </c>
      <c r="AW10" s="14">
        <f>53947+57036+76648</f>
        <v>187631</v>
      </c>
      <c r="AX10" s="14">
        <f>66126+54468+68542</f>
        <v>189136</v>
      </c>
      <c r="AY10" s="14">
        <f>62009+61713+60008</f>
        <v>183730</v>
      </c>
      <c r="AZ10" s="14">
        <f>65451+63255+62117</f>
        <v>190823</v>
      </c>
      <c r="BA10" s="14">
        <f>58026+64013+79054</f>
        <v>201093</v>
      </c>
      <c r="BB10" s="14">
        <f>65412+65263+71693</f>
        <v>202368</v>
      </c>
      <c r="BC10" s="14">
        <f>64158+60082+65928</f>
        <v>190168</v>
      </c>
      <c r="BD10" s="14">
        <f>65927+66067+63948</f>
        <v>195942</v>
      </c>
      <c r="BE10" s="14">
        <f>59493+67458+88846</f>
        <v>215797</v>
      </c>
      <c r="BF10" s="14">
        <f>74352+71277+80708</f>
        <v>226337</v>
      </c>
      <c r="BG10" s="14">
        <f>77275+69625+74067</f>
        <v>220967</v>
      </c>
      <c r="BH10" s="14">
        <f>82136+81802+73207</f>
        <v>237145</v>
      </c>
      <c r="BI10" s="14">
        <f>73344+66679+100074</f>
        <v>240097</v>
      </c>
      <c r="BJ10" s="14">
        <f>87387+52879+23262</f>
        <v>163528</v>
      </c>
      <c r="BK10" s="14">
        <f>289+344+694</f>
        <v>1327</v>
      </c>
      <c r="BL10" s="14">
        <f>975+1859+2322</f>
        <v>5156</v>
      </c>
      <c r="BM10" s="14">
        <f>1908+1617+2530</f>
        <v>6055</v>
      </c>
      <c r="BN10" s="14">
        <f>1757+1500+2001</f>
        <v>5258</v>
      </c>
      <c r="BO10" s="14">
        <f>2013+1743+2137</f>
        <v>5893</v>
      </c>
      <c r="BP10" s="14">
        <f>2358+2096+2672</f>
        <v>7126</v>
      </c>
      <c r="BQ10" s="14">
        <f>2585+3322+4211</f>
        <v>10118</v>
      </c>
      <c r="BR10" s="14">
        <f>3614+3788+5017</f>
        <v>12419</v>
      </c>
      <c r="BS10" s="14">
        <f>9354+15241+18028</f>
        <v>42623</v>
      </c>
      <c r="BT10" s="14">
        <f>31095+29366+29913</f>
        <v>90374</v>
      </c>
      <c r="BU10" s="14">
        <v>116327</v>
      </c>
      <c r="BV10" s="14">
        <f>41338+39081+43050</f>
        <v>123469</v>
      </c>
      <c r="BW10" s="14">
        <f>42851+37639+41206</f>
        <v>121696</v>
      </c>
      <c r="BX10" s="14">
        <f>44170+47341+43111</f>
        <v>134622</v>
      </c>
      <c r="BY10" s="14">
        <f>42448+48650+57624</f>
        <v>148722</v>
      </c>
      <c r="BZ10" s="14">
        <f>44824+53718+51409</f>
        <v>149951</v>
      </c>
      <c r="CA10" s="14">
        <f>48830+46607+48359</f>
        <v>143796</v>
      </c>
      <c r="CB10" s="14">
        <f>52296+57300+52543</f>
        <v>162139</v>
      </c>
      <c r="CC10" s="14">
        <f>52305+53777+67966</f>
        <v>174048</v>
      </c>
      <c r="CD10" s="14">
        <f>54795+52814+50489</f>
        <v>158098</v>
      </c>
      <c r="CE10" s="14">
        <f>50856+51465+53149</f>
        <v>155470</v>
      </c>
      <c r="CF10" s="14">
        <f>53620+58036+52915</f>
        <v>164571</v>
      </c>
      <c r="CG10" s="14">
        <f>60703+60113+68423</f>
        <v>189239</v>
      </c>
      <c r="CH10" s="14">
        <f>58713+54557+57312</f>
        <v>170582</v>
      </c>
      <c r="CI10" s="14">
        <f>50789+55522+52092</f>
        <v>158403</v>
      </c>
      <c r="CJ10" s="14"/>
      <c r="CK10" s="14"/>
    </row>
    <row r="11" spans="1:89" ht="16.5" customHeight="1" x14ac:dyDescent="0.2">
      <c r="A11" s="10" t="s">
        <v>8</v>
      </c>
      <c r="B11" s="14">
        <v>51810</v>
      </c>
      <c r="C11" s="14">
        <v>56514</v>
      </c>
      <c r="D11" s="14">
        <v>69147</v>
      </c>
      <c r="E11" s="14">
        <v>57565</v>
      </c>
      <c r="F11" s="14">
        <v>62593</v>
      </c>
      <c r="G11" s="14">
        <v>67963</v>
      </c>
      <c r="H11" s="14">
        <v>70674</v>
      </c>
      <c r="I11" s="14">
        <v>68683</v>
      </c>
      <c r="J11" s="14">
        <v>65788</v>
      </c>
      <c r="K11" s="14">
        <v>59331</v>
      </c>
      <c r="L11" s="14">
        <v>70804</v>
      </c>
      <c r="M11" s="51">
        <v>67456</v>
      </c>
      <c r="N11" s="14">
        <v>72627</v>
      </c>
      <c r="O11" s="14">
        <v>60732</v>
      </c>
      <c r="P11" s="14">
        <v>73498</v>
      </c>
      <c r="Q11" s="14">
        <v>77299</v>
      </c>
      <c r="R11" s="14">
        <v>67991</v>
      </c>
      <c r="S11" s="14">
        <v>59210</v>
      </c>
      <c r="T11" s="14">
        <v>64170</v>
      </c>
      <c r="U11" s="14">
        <v>79052</v>
      </c>
      <c r="V11" s="14">
        <v>74913</v>
      </c>
      <c r="W11" s="14">
        <v>90672</v>
      </c>
      <c r="X11" s="14">
        <v>102808</v>
      </c>
      <c r="Y11" s="14">
        <v>102325</v>
      </c>
      <c r="Z11" s="14">
        <v>104698</v>
      </c>
      <c r="AA11" s="14">
        <v>110520</v>
      </c>
      <c r="AB11" s="14">
        <v>112196</v>
      </c>
      <c r="AC11" s="14">
        <v>66242</v>
      </c>
      <c r="AD11" s="14">
        <f>22225+36831+19893</f>
        <v>78949</v>
      </c>
      <c r="AE11" s="14">
        <f>20451+18505+21224</f>
        <v>60180</v>
      </c>
      <c r="AF11" s="14">
        <f>24358+20217+18524</f>
        <v>63099</v>
      </c>
      <c r="AG11" s="14">
        <f>19633+19644+19256</f>
        <v>58533</v>
      </c>
      <c r="AH11" s="14">
        <f>23635+23677+21238</f>
        <v>68550</v>
      </c>
      <c r="AI11" s="14">
        <f>18237+18111+21911</f>
        <v>58259</v>
      </c>
      <c r="AJ11" s="14">
        <f>22355+21610+17637</f>
        <v>61602</v>
      </c>
      <c r="AK11" s="14">
        <f>18042+15162+17591</f>
        <v>50795</v>
      </c>
      <c r="AL11" s="14">
        <f>22352+18321+16615</f>
        <v>57288</v>
      </c>
      <c r="AM11" s="14">
        <f>16855+15283+17184</f>
        <v>49322</v>
      </c>
      <c r="AN11" s="14">
        <f>15183+19141+17357</f>
        <v>51681</v>
      </c>
      <c r="AO11" s="14">
        <f>17914+16424+20296</f>
        <v>54634</v>
      </c>
      <c r="AP11" s="14">
        <f>23798+22316+20335</f>
        <v>66449</v>
      </c>
      <c r="AQ11" s="14">
        <f>21234+21271+20726</f>
        <v>63231</v>
      </c>
      <c r="AR11" s="14">
        <f>20544+21593+19092</f>
        <v>61229</v>
      </c>
      <c r="AS11" s="14">
        <f>16895+16293+19700</f>
        <v>52888</v>
      </c>
      <c r="AT11" s="14">
        <f>22878+21788+20356</f>
        <v>65022</v>
      </c>
      <c r="AU11" s="14">
        <f>21247+20101+19211</f>
        <v>60559</v>
      </c>
      <c r="AV11" s="14">
        <f>23947+23466+20654</f>
        <v>68067</v>
      </c>
      <c r="AW11" s="14">
        <f>18838+16826+19347</f>
        <v>55011</v>
      </c>
      <c r="AX11" s="14">
        <f>23965+18793+18183</f>
        <v>60941</v>
      </c>
      <c r="AY11" s="14">
        <f>22196+20188+19655</f>
        <v>62039</v>
      </c>
      <c r="AZ11" s="14">
        <f>22211+22003+19720</f>
        <v>63934</v>
      </c>
      <c r="BA11" s="14">
        <f>20611+17646+19107</f>
        <v>57364</v>
      </c>
      <c r="BB11" s="14">
        <f>23795+21892+20959</f>
        <v>66646</v>
      </c>
      <c r="BC11" s="14">
        <f>21192+19240+20208</f>
        <v>60640</v>
      </c>
      <c r="BD11" s="14">
        <f>21501+22065+18287</f>
        <v>61853</v>
      </c>
      <c r="BE11" s="14">
        <f>18673+18051+21963</f>
        <v>58687</v>
      </c>
      <c r="BF11" s="14">
        <f>26138+23381+19488</f>
        <v>69007</v>
      </c>
      <c r="BG11" s="14">
        <f>24209+21073+25624</f>
        <v>70906</v>
      </c>
      <c r="BH11" s="14">
        <f>30470+31774+24992</f>
        <v>87236</v>
      </c>
      <c r="BI11" s="14">
        <f>27374+18051+30476</f>
        <v>75901</v>
      </c>
      <c r="BJ11" s="14">
        <f>35468+21078+9556</f>
        <v>66102</v>
      </c>
      <c r="BK11" s="14">
        <v>2</v>
      </c>
      <c r="BL11" s="53">
        <v>0</v>
      </c>
      <c r="BM11" s="53">
        <v>0</v>
      </c>
      <c r="BN11" s="53">
        <v>0</v>
      </c>
      <c r="BO11" s="53">
        <v>0</v>
      </c>
      <c r="BP11" s="53">
        <v>0</v>
      </c>
      <c r="BQ11" s="53">
        <v>0</v>
      </c>
      <c r="BR11" s="53">
        <v>0</v>
      </c>
      <c r="BS11" s="14">
        <f>37+393+1416</f>
        <v>1846</v>
      </c>
      <c r="BT11" s="14">
        <f>7104+7125+6484</f>
        <v>20713</v>
      </c>
      <c r="BU11" s="14">
        <f>6155+6880+9410</f>
        <v>22445</v>
      </c>
      <c r="BV11" s="14">
        <f>12475+10426+11972</f>
        <v>34873</v>
      </c>
      <c r="BW11" s="14">
        <f>10498+9644+11296</f>
        <v>31438</v>
      </c>
      <c r="BX11" s="14">
        <f>11397+12800+12697</f>
        <v>36894</v>
      </c>
      <c r="BY11" s="14">
        <f>11991+11626+9977</f>
        <v>33594</v>
      </c>
      <c r="BZ11" s="14">
        <f>14455+14806+43552</f>
        <v>72813</v>
      </c>
      <c r="CA11" s="14">
        <f>12855+12072+13256</f>
        <v>38183</v>
      </c>
      <c r="CB11" s="14">
        <f>14006+14311+15546</f>
        <v>43863</v>
      </c>
      <c r="CC11" s="14">
        <f>15875+14597+13158</f>
        <v>43630</v>
      </c>
      <c r="CD11" s="14">
        <f>17377+15401+12566</f>
        <v>45344</v>
      </c>
      <c r="CE11" s="14">
        <f>16979+14472+13591</f>
        <v>45042</v>
      </c>
      <c r="CF11" s="14">
        <f>16906+16523+18058</f>
        <v>51487</v>
      </c>
      <c r="CG11" s="14">
        <f>19276+132397+15847</f>
        <v>167520</v>
      </c>
      <c r="CH11" s="14">
        <f>20264+18132+16154</f>
        <v>54550</v>
      </c>
      <c r="CI11" s="14">
        <f>17591+17505+17817</f>
        <v>52913</v>
      </c>
      <c r="CJ11" s="14"/>
      <c r="CK11" s="14"/>
    </row>
    <row r="12" spans="1:89" ht="16.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row>
    <row r="13" spans="1:89" ht="16.5" customHeight="1" x14ac:dyDescent="0.2">
      <c r="A13" s="2" t="s">
        <v>9</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row>
    <row r="14" spans="1:89" ht="16.5"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row>
    <row r="15" spans="1:89" ht="16.5" customHeight="1" x14ac:dyDescent="0.2">
      <c r="A15" s="2"/>
      <c r="B15" s="2"/>
      <c r="C15" s="2"/>
      <c r="D15" s="2"/>
      <c r="I15" s="2"/>
      <c r="J15" s="2"/>
      <c r="K15" s="2"/>
      <c r="L15" s="2"/>
      <c r="M15" s="2"/>
      <c r="N15" s="2"/>
      <c r="O15" s="2"/>
      <c r="P15" s="2"/>
      <c r="Q15" s="2"/>
      <c r="R15" s="2"/>
      <c r="S15" s="2"/>
      <c r="T15" s="2"/>
      <c r="U15" s="2"/>
      <c r="V15" s="2"/>
      <c r="W15" s="2"/>
      <c r="X15" s="2"/>
      <c r="Y15" s="2"/>
      <c r="Z15" s="2"/>
      <c r="AA15" s="2"/>
      <c r="AB15" s="2"/>
      <c r="AC15" s="2"/>
      <c r="AD15" s="4"/>
      <c r="AE15" s="4"/>
      <c r="AF15" s="4"/>
      <c r="AG15" s="40"/>
      <c r="AH15" s="4"/>
      <c r="AI15" s="4"/>
      <c r="AJ15" s="4"/>
      <c r="AK15" s="40"/>
      <c r="AL15" s="4"/>
      <c r="AM15" s="4"/>
      <c r="AN15" s="4"/>
      <c r="AO15" s="40"/>
      <c r="AP15" s="4"/>
      <c r="AQ15" s="4"/>
      <c r="AR15" s="4"/>
      <c r="AS15" s="40"/>
      <c r="AT15" s="4"/>
      <c r="AU15" s="4"/>
      <c r="AV15" s="4"/>
      <c r="AW15" s="40"/>
      <c r="AX15" s="4"/>
      <c r="AY15" s="4"/>
      <c r="AZ15" s="4"/>
      <c r="BA15" s="40"/>
      <c r="BB15" s="4"/>
      <c r="BC15" s="4"/>
      <c r="BD15" s="4"/>
      <c r="BE15" s="40"/>
      <c r="BF15" s="4"/>
      <c r="BG15" s="4"/>
      <c r="BH15" s="4"/>
      <c r="BI15" s="40"/>
      <c r="BJ15" s="4"/>
      <c r="BK15" s="4"/>
      <c r="BL15" s="4"/>
      <c r="BM15" s="40"/>
      <c r="BN15" s="4"/>
      <c r="BO15" s="4"/>
      <c r="BP15" s="4"/>
      <c r="BQ15" s="40"/>
      <c r="BR15" s="4"/>
      <c r="BS15" s="4"/>
      <c r="BT15" s="4"/>
      <c r="BU15" s="40"/>
      <c r="BV15" s="4"/>
      <c r="BW15" s="4"/>
      <c r="BX15" s="4"/>
      <c r="BY15" s="40"/>
      <c r="BZ15" s="41"/>
      <c r="CA15" s="41"/>
      <c r="CB15" s="41"/>
      <c r="CC15" s="40"/>
      <c r="CD15" s="41"/>
      <c r="CE15" s="41"/>
      <c r="CF15" s="41"/>
      <c r="CG15" s="40"/>
      <c r="CH15" s="4"/>
      <c r="CI15" s="4"/>
      <c r="CJ15" s="4"/>
      <c r="CK15" s="4"/>
    </row>
    <row r="16" spans="1:89" ht="16.5" customHeight="1" x14ac:dyDescent="0.2">
      <c r="A16" s="2"/>
      <c r="B16" s="2"/>
      <c r="C16" s="2"/>
      <c r="D16" s="2"/>
      <c r="E16" s="50"/>
      <c r="I16" s="2"/>
      <c r="J16" s="2"/>
      <c r="K16" s="2"/>
      <c r="L16" s="2"/>
      <c r="M16" s="2"/>
      <c r="N16" s="2"/>
      <c r="O16" s="2"/>
      <c r="P16" s="2"/>
      <c r="Q16" s="2"/>
      <c r="R16" s="2"/>
      <c r="S16" s="2"/>
      <c r="T16" s="2"/>
      <c r="U16" s="47"/>
      <c r="V16" s="2"/>
      <c r="W16" s="2"/>
      <c r="X16" s="2"/>
      <c r="Y16" s="2"/>
      <c r="Z16" s="2"/>
      <c r="AA16" s="2"/>
      <c r="AB16" s="2"/>
      <c r="AC16" s="2"/>
      <c r="AD16" s="4"/>
      <c r="AE16" s="4"/>
      <c r="AF16" s="4"/>
      <c r="AG16" s="40"/>
      <c r="AH16" s="4"/>
      <c r="AI16" s="4"/>
      <c r="AJ16" s="4"/>
      <c r="AK16" s="40"/>
      <c r="AL16" s="4"/>
      <c r="AM16" s="4"/>
      <c r="AN16" s="4"/>
      <c r="AO16" s="40"/>
      <c r="AP16" s="4"/>
      <c r="AQ16" s="4"/>
      <c r="AR16" s="4"/>
      <c r="AS16" s="40"/>
      <c r="AT16" s="4"/>
      <c r="AU16" s="4"/>
      <c r="AV16" s="4"/>
      <c r="AW16" s="40"/>
      <c r="AX16" s="4"/>
      <c r="AY16" s="4"/>
      <c r="AZ16" s="4"/>
      <c r="BA16" s="40"/>
      <c r="BB16" s="4"/>
      <c r="BC16" s="4"/>
      <c r="BD16" s="4"/>
      <c r="BE16" s="40"/>
      <c r="BF16" s="4"/>
      <c r="BG16" s="4"/>
      <c r="BH16" s="4"/>
      <c r="BI16" s="40"/>
      <c r="BJ16" s="4"/>
      <c r="BK16" s="4"/>
      <c r="BL16" s="4"/>
      <c r="BM16" s="40"/>
      <c r="BN16" s="4"/>
      <c r="BO16" s="4"/>
      <c r="BP16" s="4"/>
      <c r="BQ16" s="40"/>
      <c r="BR16" s="4"/>
      <c r="BS16" s="4"/>
      <c r="BT16" s="4"/>
      <c r="BU16" s="40"/>
      <c r="BV16" s="4"/>
      <c r="BW16" s="4"/>
      <c r="BX16" s="4"/>
      <c r="BY16" s="40"/>
      <c r="BZ16" s="41"/>
      <c r="CA16" s="41"/>
      <c r="CB16" s="41"/>
      <c r="CC16" s="40"/>
      <c r="CD16" s="41"/>
      <c r="CE16" s="41"/>
      <c r="CF16" s="41"/>
      <c r="CG16" s="40"/>
      <c r="CH16" s="4"/>
      <c r="CI16" s="4"/>
      <c r="CJ16" s="4"/>
      <c r="CK16" s="4"/>
    </row>
    <row r="17" spans="1:89" ht="16.5" customHeight="1" x14ac:dyDescent="0.2">
      <c r="A17" s="2"/>
      <c r="B17" s="2"/>
      <c r="C17" s="2"/>
      <c r="D17" s="2"/>
      <c r="E17" s="50"/>
      <c r="I17" s="47"/>
      <c r="J17" s="2"/>
      <c r="K17" s="2"/>
      <c r="L17" s="2"/>
      <c r="M17" s="47"/>
      <c r="N17" s="2"/>
      <c r="O17" s="2"/>
      <c r="P17" s="2"/>
      <c r="Q17" s="47"/>
      <c r="R17" s="2"/>
      <c r="S17" s="2"/>
      <c r="T17" s="2"/>
      <c r="U17" s="47"/>
      <c r="V17" s="2"/>
      <c r="W17" s="2"/>
      <c r="X17" s="2"/>
      <c r="Y17" s="2"/>
      <c r="Z17" s="2"/>
      <c r="AA17" s="2"/>
      <c r="AB17" s="2"/>
      <c r="AC17" s="47"/>
      <c r="AD17" s="4"/>
      <c r="AE17" s="4"/>
      <c r="AF17" s="4"/>
      <c r="AG17" s="40"/>
      <c r="AH17" s="4"/>
      <c r="AI17" s="4"/>
      <c r="AJ17" s="4"/>
      <c r="AK17" s="40"/>
      <c r="AL17" s="4"/>
      <c r="AM17" s="4"/>
      <c r="AN17" s="4"/>
      <c r="AO17" s="40"/>
      <c r="AP17" s="4"/>
      <c r="AQ17" s="4"/>
      <c r="AR17" s="4"/>
      <c r="AS17" s="40"/>
      <c r="AT17" s="4"/>
      <c r="AU17" s="4"/>
      <c r="AV17" s="4"/>
      <c r="AW17" s="40"/>
      <c r="AX17" s="4"/>
      <c r="AY17" s="4"/>
      <c r="AZ17" s="4"/>
      <c r="BA17" s="40"/>
      <c r="BB17" s="4"/>
      <c r="BC17" s="4"/>
      <c r="BD17" s="4"/>
      <c r="BE17" s="40"/>
      <c r="BF17" s="4"/>
      <c r="BG17" s="4"/>
      <c r="BH17" s="4"/>
      <c r="BI17" s="40"/>
      <c r="BJ17" s="4"/>
      <c r="BK17" s="4"/>
      <c r="BL17" s="4"/>
      <c r="BM17" s="40"/>
      <c r="BN17" s="4"/>
      <c r="BO17" s="4"/>
      <c r="BP17" s="4"/>
      <c r="BQ17" s="40"/>
      <c r="BR17" s="4"/>
      <c r="BS17" s="4"/>
      <c r="BT17" s="4"/>
      <c r="BU17" s="40"/>
      <c r="BV17" s="4"/>
      <c r="BW17" s="4"/>
      <c r="BX17" s="4"/>
      <c r="BY17" s="40"/>
      <c r="BZ17" s="41"/>
      <c r="CA17" s="41"/>
      <c r="CB17" s="41"/>
      <c r="CC17" s="40"/>
      <c r="CD17" s="41"/>
      <c r="CE17" s="41"/>
      <c r="CF17" s="41"/>
      <c r="CG17" s="40"/>
      <c r="CH17" s="4"/>
      <c r="CI17" s="4"/>
      <c r="CJ17" s="4"/>
      <c r="CK17" s="4"/>
    </row>
    <row r="18" spans="1:89" ht="16.5" customHeight="1" x14ac:dyDescent="0.2">
      <c r="A18" s="2"/>
      <c r="B18" s="2"/>
      <c r="C18" s="2"/>
      <c r="D18" s="2"/>
      <c r="I18" s="2"/>
      <c r="J18" s="2"/>
      <c r="K18" s="2"/>
      <c r="L18" s="2"/>
      <c r="M18" s="2"/>
      <c r="N18" s="2"/>
      <c r="O18" s="2"/>
      <c r="P18" s="2"/>
      <c r="Q18" s="2"/>
      <c r="R18" s="2"/>
      <c r="S18" s="2"/>
      <c r="T18" s="2"/>
      <c r="U18" s="2"/>
      <c r="V18" s="2"/>
      <c r="W18" s="2"/>
      <c r="X18" s="2"/>
      <c r="Y18" s="2"/>
      <c r="Z18" s="2"/>
      <c r="AA18" s="2"/>
      <c r="AB18" s="2"/>
      <c r="AC18" s="2"/>
      <c r="AD18" s="4"/>
      <c r="AE18" s="4"/>
      <c r="AF18" s="4"/>
      <c r="AG18" s="42"/>
      <c r="AH18" s="4"/>
      <c r="AI18" s="4"/>
      <c r="AJ18" s="4"/>
      <c r="AK18" s="42"/>
      <c r="AL18" s="4"/>
      <c r="AM18" s="4"/>
      <c r="AN18" s="4"/>
      <c r="AO18" s="42"/>
      <c r="AP18" s="4"/>
      <c r="AQ18" s="4"/>
      <c r="AR18" s="4"/>
      <c r="AS18" s="42"/>
      <c r="AT18" s="4"/>
      <c r="AU18" s="4"/>
      <c r="AV18" s="4"/>
      <c r="AW18" s="42"/>
      <c r="AX18" s="4"/>
      <c r="AY18" s="4"/>
      <c r="AZ18" s="4"/>
      <c r="BA18" s="42"/>
      <c r="BB18" s="4"/>
      <c r="BC18" s="4"/>
      <c r="BD18" s="4"/>
      <c r="BE18" s="42"/>
      <c r="BF18" s="4"/>
      <c r="BG18" s="4"/>
      <c r="BH18" s="4"/>
      <c r="BI18" s="42"/>
      <c r="BJ18" s="4"/>
      <c r="BK18" s="4"/>
      <c r="BL18" s="4"/>
      <c r="BM18" s="42"/>
      <c r="BN18" s="4"/>
      <c r="BO18" s="4"/>
      <c r="BP18" s="4"/>
      <c r="BQ18" s="42"/>
      <c r="BR18" s="4"/>
      <c r="BS18" s="4"/>
      <c r="BT18" s="4"/>
      <c r="BU18" s="42"/>
      <c r="BV18" s="4"/>
      <c r="BW18" s="4"/>
      <c r="BX18" s="4"/>
      <c r="BY18" s="42"/>
      <c r="BZ18" s="41"/>
      <c r="CA18" s="41"/>
      <c r="CB18" s="41"/>
      <c r="CC18" s="42"/>
      <c r="CD18" s="41"/>
      <c r="CE18" s="41"/>
      <c r="CF18" s="41"/>
      <c r="CG18" s="42"/>
      <c r="CH18" s="4"/>
      <c r="CI18" s="4"/>
      <c r="CJ18" s="4"/>
      <c r="CK18" s="4"/>
    </row>
    <row r="19" spans="1:89" ht="16.5" customHeight="1" x14ac:dyDescent="0.2">
      <c r="A19" s="2"/>
      <c r="B19" s="2"/>
      <c r="C19" s="2"/>
      <c r="D19" s="2"/>
      <c r="I19" s="2"/>
      <c r="J19" s="2"/>
      <c r="K19" s="2"/>
      <c r="L19" s="2"/>
      <c r="M19" s="2"/>
      <c r="N19" s="2"/>
      <c r="O19" s="2"/>
      <c r="P19" s="2"/>
      <c r="Q19" s="2"/>
      <c r="R19" s="2"/>
      <c r="S19" s="2"/>
      <c r="T19" s="2"/>
      <c r="U19" s="2"/>
      <c r="V19" s="2"/>
      <c r="W19" s="2"/>
      <c r="X19" s="2"/>
      <c r="Y19" s="2"/>
      <c r="Z19" s="2"/>
      <c r="AA19" s="2"/>
      <c r="AB19" s="2"/>
      <c r="AC19" s="2"/>
      <c r="AD19" s="4"/>
      <c r="AE19" s="4"/>
      <c r="AF19" s="4"/>
      <c r="AG19" s="40"/>
      <c r="AH19" s="4"/>
      <c r="AI19" s="4"/>
      <c r="AJ19" s="4"/>
      <c r="AK19" s="40"/>
      <c r="AL19" s="4"/>
      <c r="AM19" s="4"/>
      <c r="AN19" s="4"/>
      <c r="AO19" s="40"/>
      <c r="AP19" s="4"/>
      <c r="AQ19" s="4"/>
      <c r="AR19" s="4"/>
      <c r="AS19" s="40"/>
      <c r="AT19" s="4"/>
      <c r="AU19" s="4"/>
      <c r="AV19" s="4"/>
      <c r="AW19" s="40"/>
      <c r="AX19" s="4"/>
      <c r="AY19" s="4"/>
      <c r="AZ19" s="4"/>
      <c r="BA19" s="40"/>
      <c r="BB19" s="4"/>
      <c r="BC19" s="4"/>
      <c r="BD19" s="4"/>
      <c r="BE19" s="40"/>
      <c r="BF19" s="4"/>
      <c r="BG19" s="4"/>
      <c r="BH19" s="4"/>
      <c r="BI19" s="40"/>
      <c r="BJ19" s="4"/>
      <c r="BK19" s="4"/>
      <c r="BL19" s="4"/>
      <c r="BM19" s="40"/>
      <c r="BN19" s="4"/>
      <c r="BO19" s="4"/>
      <c r="BP19" s="4"/>
      <c r="BQ19" s="40"/>
      <c r="BR19" s="4"/>
      <c r="BS19" s="4"/>
      <c r="BT19" s="4"/>
      <c r="BU19" s="40"/>
      <c r="BV19" s="4"/>
      <c r="BW19" s="4"/>
      <c r="BX19" s="4"/>
      <c r="BY19" s="40"/>
      <c r="BZ19" s="41"/>
      <c r="CA19" s="41"/>
      <c r="CB19" s="41"/>
      <c r="CC19" s="40"/>
      <c r="CD19" s="41"/>
      <c r="CE19" s="41"/>
      <c r="CF19" s="41"/>
      <c r="CG19" s="40"/>
      <c r="CH19" s="4"/>
      <c r="CI19" s="4"/>
      <c r="CJ19" s="4"/>
      <c r="CK19" s="4"/>
    </row>
    <row r="20" spans="1:89" ht="16.5" customHeight="1" x14ac:dyDescent="0.2">
      <c r="A20" s="2"/>
      <c r="B20" s="2"/>
      <c r="C20" s="2"/>
      <c r="D20" s="2"/>
      <c r="I20" s="2"/>
      <c r="J20" s="2"/>
      <c r="K20" s="2"/>
      <c r="L20" s="2"/>
      <c r="M20" s="2"/>
      <c r="N20" s="2"/>
      <c r="O20" s="2"/>
      <c r="P20" s="2"/>
      <c r="Q20" s="2"/>
      <c r="R20" s="2"/>
      <c r="S20" s="2"/>
      <c r="T20" s="2"/>
      <c r="U20" s="2"/>
      <c r="V20" s="2"/>
      <c r="W20" s="2"/>
      <c r="X20" s="2"/>
      <c r="Y20" s="2"/>
      <c r="Z20" s="2"/>
      <c r="AA20" s="2"/>
      <c r="AB20" s="2"/>
      <c r="AC20" s="2"/>
      <c r="AD20" s="4"/>
      <c r="AE20" s="4"/>
      <c r="AF20" s="4"/>
      <c r="AG20" s="40"/>
      <c r="AH20" s="4"/>
      <c r="AI20" s="4"/>
      <c r="AJ20" s="4"/>
      <c r="AK20" s="40"/>
      <c r="AL20" s="4"/>
      <c r="AM20" s="4"/>
      <c r="AN20" s="4"/>
      <c r="AO20" s="40"/>
      <c r="AP20" s="4"/>
      <c r="AQ20" s="4"/>
      <c r="AR20" s="4"/>
      <c r="AS20" s="40"/>
      <c r="AT20" s="4"/>
      <c r="AU20" s="4"/>
      <c r="AV20" s="4"/>
      <c r="AW20" s="40"/>
      <c r="AX20" s="4"/>
      <c r="AY20" s="4"/>
      <c r="AZ20" s="4"/>
      <c r="BA20" s="40"/>
      <c r="BB20" s="4"/>
      <c r="BC20" s="4"/>
      <c r="BD20" s="4"/>
      <c r="BE20" s="40"/>
      <c r="BF20" s="4"/>
      <c r="BG20" s="4"/>
      <c r="BH20" s="4"/>
      <c r="BI20" s="40"/>
      <c r="BJ20" s="4"/>
      <c r="BK20" s="4"/>
      <c r="BL20" s="4"/>
      <c r="BM20" s="40"/>
      <c r="BN20" s="4"/>
      <c r="BO20" s="4"/>
      <c r="BP20" s="4"/>
      <c r="BQ20" s="40"/>
      <c r="BR20" s="4"/>
      <c r="BS20" s="4"/>
      <c r="BT20" s="4"/>
      <c r="BU20" s="40"/>
      <c r="BV20" s="4"/>
      <c r="BW20" s="4"/>
      <c r="BX20" s="4"/>
      <c r="BY20" s="40"/>
      <c r="BZ20" s="41"/>
      <c r="CA20" s="41"/>
      <c r="CB20" s="41"/>
      <c r="CC20" s="40"/>
      <c r="CD20" s="41"/>
      <c r="CE20" s="41"/>
      <c r="CF20" s="41"/>
      <c r="CG20" s="40"/>
      <c r="CH20" s="4"/>
      <c r="CI20" s="4"/>
      <c r="CJ20" s="4"/>
      <c r="CK20" s="4"/>
    </row>
    <row r="21" spans="1:89" ht="16.5" customHeight="1" x14ac:dyDescent="0.2">
      <c r="A21" s="2"/>
      <c r="B21" s="2"/>
      <c r="C21" s="2"/>
      <c r="D21" s="2"/>
      <c r="I21" s="2"/>
      <c r="J21" s="2"/>
      <c r="K21" s="2"/>
      <c r="L21" s="2"/>
      <c r="M21" s="2"/>
      <c r="N21" s="2"/>
      <c r="O21" s="2"/>
      <c r="P21" s="2"/>
      <c r="Q21" s="2"/>
      <c r="R21" s="2"/>
      <c r="S21" s="2"/>
      <c r="T21" s="2"/>
      <c r="U21" s="2"/>
      <c r="V21" s="2"/>
      <c r="W21" s="2"/>
      <c r="X21" s="2"/>
      <c r="Y21" s="2"/>
      <c r="Z21" s="2"/>
      <c r="AA21" s="2"/>
      <c r="AB21" s="2"/>
      <c r="AC21" s="2"/>
      <c r="AD21" s="4"/>
      <c r="AE21" s="4"/>
      <c r="AF21" s="4"/>
      <c r="AG21" s="40"/>
      <c r="AH21" s="4"/>
      <c r="AI21" s="4"/>
      <c r="AJ21" s="4"/>
      <c r="AK21" s="40"/>
      <c r="AL21" s="4"/>
      <c r="AM21" s="4"/>
      <c r="AN21" s="4"/>
      <c r="AO21" s="40"/>
      <c r="AP21" s="4"/>
      <c r="AQ21" s="4"/>
      <c r="AR21" s="4"/>
      <c r="AS21" s="40"/>
      <c r="AT21" s="4"/>
      <c r="AU21" s="4"/>
      <c r="AV21" s="4"/>
      <c r="AW21" s="40"/>
      <c r="AX21" s="4"/>
      <c r="AY21" s="4"/>
      <c r="AZ21" s="4"/>
      <c r="BA21" s="40"/>
      <c r="BB21" s="4"/>
      <c r="BC21" s="4"/>
      <c r="BD21" s="4"/>
      <c r="BE21" s="40"/>
      <c r="BF21" s="4"/>
      <c r="BG21" s="4"/>
      <c r="BH21" s="4"/>
      <c r="BI21" s="40"/>
      <c r="BJ21" s="4"/>
      <c r="BK21" s="4"/>
      <c r="BL21" s="4"/>
      <c r="BM21" s="40"/>
      <c r="BN21" s="4"/>
      <c r="BO21" s="4"/>
      <c r="BP21" s="4"/>
      <c r="BQ21" s="40"/>
      <c r="BR21" s="4"/>
      <c r="BS21" s="4"/>
      <c r="BT21" s="4"/>
      <c r="BU21" s="40"/>
      <c r="BV21" s="4"/>
      <c r="BW21" s="4"/>
      <c r="BX21" s="4"/>
      <c r="BY21" s="40"/>
      <c r="BZ21" s="41"/>
      <c r="CA21" s="41"/>
      <c r="CB21" s="41"/>
      <c r="CC21" s="40"/>
      <c r="CD21" s="41"/>
      <c r="CE21" s="41"/>
      <c r="CF21" s="41"/>
      <c r="CG21" s="40"/>
      <c r="CH21" s="4"/>
      <c r="CI21" s="4"/>
      <c r="CJ21" s="4"/>
      <c r="CK21" s="4"/>
    </row>
    <row r="22" spans="1:89" ht="16.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4"/>
      <c r="AE22" s="4"/>
      <c r="AF22" s="4"/>
      <c r="AG22" s="40"/>
      <c r="AH22" s="4"/>
      <c r="AI22" s="4"/>
      <c r="AJ22" s="4"/>
      <c r="AK22" s="40"/>
      <c r="AL22" s="4"/>
      <c r="AM22" s="4"/>
      <c r="AN22" s="4"/>
      <c r="AO22" s="40"/>
      <c r="AP22" s="4"/>
      <c r="AQ22" s="4"/>
      <c r="AR22" s="4"/>
      <c r="AS22" s="40"/>
      <c r="AT22" s="4"/>
      <c r="AU22" s="4"/>
      <c r="AV22" s="4"/>
      <c r="AW22" s="40"/>
      <c r="AX22" s="4"/>
      <c r="AY22" s="4"/>
      <c r="AZ22" s="4"/>
      <c r="BA22" s="40"/>
      <c r="BB22" s="4"/>
      <c r="BC22" s="4"/>
      <c r="BD22" s="4"/>
      <c r="BE22" s="40"/>
      <c r="BF22" s="4"/>
      <c r="BG22" s="4"/>
      <c r="BH22" s="4"/>
      <c r="BI22" s="40"/>
      <c r="BJ22" s="4"/>
      <c r="BK22" s="4"/>
      <c r="BL22" s="4"/>
      <c r="BM22" s="40"/>
      <c r="BN22" s="4"/>
      <c r="BO22" s="4"/>
      <c r="BP22" s="4"/>
      <c r="BQ22" s="40"/>
      <c r="BR22" s="4"/>
      <c r="BS22" s="4"/>
      <c r="BT22" s="4"/>
      <c r="BU22" s="40"/>
      <c r="BV22" s="4"/>
      <c r="BW22" s="4"/>
      <c r="BX22" s="4"/>
      <c r="BY22" s="40"/>
      <c r="BZ22" s="41"/>
      <c r="CA22" s="41"/>
      <c r="CB22" s="41"/>
      <c r="CC22" s="40"/>
      <c r="CD22" s="41"/>
      <c r="CE22" s="41"/>
      <c r="CF22" s="41"/>
      <c r="CG22" s="40"/>
      <c r="CH22" s="4"/>
      <c r="CI22" s="4"/>
      <c r="CJ22" s="4"/>
      <c r="CK22" s="4"/>
    </row>
    <row r="23" spans="1:89" ht="16.5"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4"/>
      <c r="AE23" s="4"/>
      <c r="AF23" s="4"/>
      <c r="AG23" s="42"/>
      <c r="AH23" s="4"/>
      <c r="AI23" s="4"/>
      <c r="AJ23" s="4"/>
      <c r="AK23" s="42"/>
      <c r="AL23" s="4"/>
      <c r="AM23" s="4"/>
      <c r="AN23" s="4"/>
      <c r="AO23" s="42"/>
      <c r="AP23" s="4"/>
      <c r="AQ23" s="4"/>
      <c r="AR23" s="4"/>
      <c r="AS23" s="42"/>
      <c r="AT23" s="4"/>
      <c r="AU23" s="4"/>
      <c r="AV23" s="4"/>
      <c r="AW23" s="42"/>
      <c r="AX23" s="4"/>
      <c r="AY23" s="4"/>
      <c r="AZ23" s="4"/>
      <c r="BA23" s="42"/>
      <c r="BB23" s="4"/>
      <c r="BC23" s="4"/>
      <c r="BD23" s="4"/>
      <c r="BE23" s="42"/>
      <c r="BF23" s="4"/>
      <c r="BG23" s="4"/>
      <c r="BH23" s="4"/>
      <c r="BI23" s="42"/>
      <c r="BJ23" s="4"/>
      <c r="BK23" s="4"/>
      <c r="BL23" s="4"/>
      <c r="BM23" s="42"/>
      <c r="BN23" s="4"/>
      <c r="BO23" s="4"/>
      <c r="BP23" s="4"/>
      <c r="BQ23" s="42"/>
      <c r="BR23" s="4"/>
      <c r="BS23" s="4"/>
      <c r="BT23" s="4"/>
      <c r="BU23" s="42"/>
      <c r="BV23" s="4"/>
      <c r="BW23" s="4"/>
      <c r="BX23" s="4"/>
      <c r="BY23" s="42"/>
      <c r="BZ23" s="41"/>
      <c r="CA23" s="41"/>
      <c r="CB23" s="41"/>
      <c r="CC23" s="42"/>
      <c r="CD23" s="41"/>
      <c r="CE23" s="41"/>
      <c r="CF23" s="41"/>
      <c r="CG23" s="42"/>
      <c r="CH23" s="4"/>
      <c r="CI23" s="4"/>
      <c r="CJ23" s="4"/>
      <c r="CK23" s="4"/>
    </row>
    <row r="24" spans="1:89" ht="16.5"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row>
    <row r="25" spans="1:89" ht="16.5"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4"/>
      <c r="AE25" s="4"/>
      <c r="AF25" s="4"/>
      <c r="AG25" s="30"/>
      <c r="AH25" s="4"/>
      <c r="AI25" s="4"/>
      <c r="AJ25" s="4"/>
      <c r="AK25" s="4"/>
      <c r="AL25" s="4"/>
      <c r="AM25" s="4"/>
      <c r="AN25" s="4"/>
      <c r="AO25" s="30"/>
      <c r="AP25" s="4"/>
      <c r="AQ25" s="4"/>
      <c r="AR25" s="4"/>
      <c r="AS25" s="4"/>
      <c r="AT25" s="4"/>
      <c r="AU25" s="4"/>
      <c r="AV25" s="4"/>
      <c r="AW25" s="30"/>
      <c r="AX25" s="4"/>
      <c r="AY25" s="4"/>
      <c r="AZ25" s="4"/>
      <c r="BA25" s="4"/>
      <c r="BB25" s="4"/>
      <c r="BC25" s="4"/>
      <c r="BD25" s="4"/>
      <c r="BE25" s="30"/>
      <c r="BF25" s="4"/>
      <c r="BG25" s="4"/>
      <c r="BH25" s="4"/>
      <c r="BI25" s="30"/>
      <c r="BJ25" s="4"/>
      <c r="BK25" s="4"/>
      <c r="BL25" s="4"/>
      <c r="BM25" s="30"/>
      <c r="BN25" s="4"/>
      <c r="BO25" s="4"/>
      <c r="BP25" s="4"/>
      <c r="BQ25" s="4"/>
      <c r="BR25" s="4"/>
      <c r="BS25" s="4"/>
      <c r="BT25" s="4"/>
      <c r="BU25" s="30"/>
      <c r="BV25" s="4"/>
      <c r="BW25" s="4"/>
      <c r="BX25" s="4"/>
      <c r="BY25" s="4"/>
      <c r="BZ25" s="4"/>
      <c r="CA25" s="4"/>
      <c r="CB25" s="4"/>
      <c r="CC25" s="30"/>
      <c r="CD25" s="4"/>
      <c r="CE25" s="4"/>
      <c r="CF25" s="4"/>
      <c r="CG25" s="4"/>
      <c r="CH25" s="4"/>
      <c r="CI25" s="4"/>
      <c r="CJ25" s="4"/>
      <c r="CK25" s="4"/>
    </row>
    <row r="26" spans="1:89" ht="16.5"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4"/>
      <c r="AE26" s="4"/>
      <c r="AF26" s="4"/>
      <c r="AG26" s="4"/>
      <c r="AH26" s="4"/>
      <c r="AI26" s="4"/>
      <c r="AJ26" s="4"/>
      <c r="AK26" s="30"/>
      <c r="AL26" s="4"/>
      <c r="AM26" s="4"/>
      <c r="AN26" s="4"/>
      <c r="AO26" s="4"/>
      <c r="AP26" s="4"/>
      <c r="AQ26" s="4"/>
      <c r="AR26" s="4"/>
      <c r="AS26" s="30"/>
      <c r="AT26" s="4"/>
      <c r="AU26" s="4"/>
      <c r="AV26" s="4"/>
      <c r="AW26" s="4"/>
      <c r="AX26" s="4"/>
      <c r="AY26" s="4"/>
      <c r="AZ26" s="4"/>
      <c r="BA26" s="30"/>
      <c r="BB26" s="54"/>
      <c r="BC26" s="55"/>
      <c r="BD26" s="55"/>
      <c r="BE26" s="55"/>
      <c r="BF26" s="4"/>
      <c r="BG26" s="4"/>
      <c r="BH26" s="4"/>
      <c r="BI26" s="30"/>
      <c r="BJ26" s="4"/>
      <c r="BK26" s="4"/>
      <c r="BL26" s="4"/>
      <c r="BM26" s="30"/>
      <c r="BN26" s="4"/>
      <c r="BO26" s="4"/>
      <c r="BP26" s="4"/>
      <c r="BQ26" s="30"/>
      <c r="BR26" s="4"/>
      <c r="BS26" s="4"/>
      <c r="BT26" s="4"/>
      <c r="BU26" s="4"/>
      <c r="BV26" s="4"/>
      <c r="BW26" s="4"/>
      <c r="BX26" s="4"/>
      <c r="BY26" s="30"/>
      <c r="BZ26" s="4"/>
      <c r="CA26" s="4"/>
      <c r="CB26" s="4"/>
      <c r="CC26" s="4"/>
      <c r="CD26" s="4"/>
      <c r="CE26" s="4"/>
      <c r="CF26" s="4"/>
      <c r="CG26" s="30"/>
      <c r="CH26" s="4"/>
      <c r="CI26" s="30"/>
      <c r="CJ26" s="4"/>
      <c r="CK26" s="4"/>
    </row>
    <row r="27" spans="1:89" ht="16.5"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4"/>
      <c r="AE27" s="4"/>
      <c r="AF27" s="4"/>
      <c r="AG27" s="4"/>
      <c r="AH27" s="4"/>
      <c r="AI27" s="4"/>
      <c r="AJ27" s="4"/>
      <c r="AK27" s="4"/>
      <c r="AL27" s="4"/>
      <c r="AM27" s="4"/>
      <c r="AN27" s="4"/>
      <c r="AO27" s="4"/>
      <c r="AP27" s="4"/>
      <c r="AQ27" s="4"/>
      <c r="AR27" s="4"/>
      <c r="AS27" s="4"/>
      <c r="AT27" s="4"/>
      <c r="AU27" s="4"/>
      <c r="AV27" s="4"/>
      <c r="AW27" s="4"/>
      <c r="AX27" s="4"/>
      <c r="AY27" s="4"/>
      <c r="AZ27" s="4"/>
      <c r="BA27" s="4"/>
      <c r="BB27" s="55"/>
      <c r="BC27" s="55"/>
      <c r="BD27" s="55"/>
      <c r="BE27" s="55"/>
      <c r="BF27" s="4"/>
      <c r="BG27" s="4"/>
      <c r="BH27" s="4"/>
      <c r="BI27" s="30"/>
      <c r="BJ27" s="4"/>
      <c r="BK27" s="4"/>
      <c r="BL27" s="4"/>
      <c r="BM27" s="4"/>
      <c r="BN27" s="4"/>
      <c r="BO27" s="4"/>
      <c r="BP27" s="4"/>
      <c r="BQ27" s="30"/>
      <c r="BR27" s="4"/>
      <c r="BS27" s="4"/>
      <c r="BT27" s="4"/>
      <c r="BU27" s="4"/>
      <c r="BV27" s="4"/>
      <c r="BW27" s="4"/>
      <c r="BX27" s="4"/>
      <c r="BY27" s="4"/>
      <c r="BZ27" s="4"/>
      <c r="CA27" s="4"/>
      <c r="CB27" s="36"/>
      <c r="CC27" s="38"/>
      <c r="CD27" s="4"/>
      <c r="CE27" s="4"/>
      <c r="CF27" s="4"/>
      <c r="CG27" s="4"/>
      <c r="CH27" s="4"/>
      <c r="CI27" s="4"/>
      <c r="CJ27" s="4"/>
      <c r="CK27" s="4"/>
    </row>
    <row r="28" spans="1:89" ht="16.5"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BB28" s="55"/>
      <c r="BC28" s="55"/>
      <c r="BD28" s="55"/>
      <c r="BE28" s="55"/>
      <c r="BI28" s="30"/>
      <c r="CB28" s="37"/>
      <c r="CC28" s="39"/>
      <c r="CI28" s="31"/>
    </row>
    <row r="29" spans="1:89" ht="16.5"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row>
    <row r="30" spans="1:89" ht="16.5" customHeight="1" x14ac:dyDescent="0.2">
      <c r="A30" s="2"/>
      <c r="B30" s="2"/>
      <c r="C30" s="2"/>
      <c r="D30" s="2"/>
      <c r="E30" s="2"/>
      <c r="I30" s="2"/>
      <c r="L30" s="2"/>
      <c r="M30" s="2"/>
      <c r="O30" s="2"/>
      <c r="P30" s="2"/>
      <c r="Q30" s="2"/>
      <c r="R30" s="2"/>
      <c r="S30" s="2"/>
      <c r="T30" s="2"/>
      <c r="U30" s="2"/>
      <c r="V30" s="2"/>
      <c r="W30" s="2"/>
      <c r="X30" s="2"/>
      <c r="Y30" s="2"/>
      <c r="Z30" s="2"/>
      <c r="AA30" s="2"/>
      <c r="AB30" s="2"/>
      <c r="AC30" s="2"/>
      <c r="AD30" s="4"/>
      <c r="AE30" s="4"/>
      <c r="AF30" s="4"/>
      <c r="AG30" s="4"/>
      <c r="AK30" s="4"/>
      <c r="AO30" s="4"/>
      <c r="AS30" s="4"/>
      <c r="AW30" s="4"/>
      <c r="BA30" s="43"/>
      <c r="BE30" s="43"/>
      <c r="BI30" s="43"/>
      <c r="BM30" s="43"/>
      <c r="BQ30" s="43"/>
      <c r="BU30" s="43"/>
      <c r="BY30" s="4"/>
      <c r="BZ30" s="4"/>
      <c r="CA30" s="4"/>
      <c r="CB30" s="4"/>
      <c r="CC30" s="32"/>
      <c r="CD30" s="4"/>
      <c r="CE30" s="4"/>
      <c r="CF30" s="4"/>
      <c r="CG30" s="4"/>
      <c r="CH30" s="4"/>
      <c r="CI30" s="4"/>
      <c r="CJ30" s="4"/>
      <c r="CK30" s="4"/>
    </row>
    <row r="31" spans="1:89" ht="16.5" customHeight="1" x14ac:dyDescent="0.2">
      <c r="A31" s="2"/>
      <c r="B31" s="2"/>
      <c r="C31" s="2"/>
      <c r="D31" s="2"/>
      <c r="E31" s="2"/>
      <c r="I31" s="2"/>
      <c r="L31" s="2"/>
      <c r="M31" s="2"/>
      <c r="O31" s="2"/>
      <c r="P31" s="2"/>
      <c r="Q31" s="2"/>
      <c r="R31" s="2"/>
      <c r="S31" s="2"/>
      <c r="T31" s="2"/>
      <c r="U31" s="2"/>
      <c r="V31" s="2"/>
      <c r="W31" s="2"/>
      <c r="X31" s="2"/>
      <c r="Y31" s="2"/>
      <c r="Z31" s="2"/>
      <c r="AA31" s="2"/>
      <c r="AB31" s="2"/>
      <c r="AC31" s="2"/>
      <c r="AD31" s="7"/>
      <c r="AE31" s="7"/>
      <c r="AF31" s="7"/>
      <c r="AG31" s="7"/>
      <c r="AK31" s="7"/>
      <c r="AO31" s="7"/>
      <c r="AS31" s="7"/>
      <c r="AW31" s="7"/>
      <c r="BA31" s="43"/>
      <c r="BE31" s="43"/>
      <c r="BI31" s="43"/>
      <c r="BM31" s="43"/>
      <c r="BQ31" s="43"/>
      <c r="BU31" s="43"/>
      <c r="BY31" s="7"/>
      <c r="BZ31" s="7"/>
      <c r="CA31" s="7"/>
      <c r="CB31" s="7"/>
      <c r="CC31" s="32"/>
      <c r="CD31" s="7"/>
      <c r="CE31" s="7"/>
      <c r="CF31" s="7"/>
      <c r="CG31" s="7"/>
      <c r="CH31" s="7"/>
      <c r="CI31" s="7"/>
      <c r="CJ31" s="7"/>
      <c r="CK31" s="7"/>
    </row>
    <row r="32" spans="1:89" ht="16.5" customHeight="1" x14ac:dyDescent="0.2">
      <c r="A32" s="2"/>
      <c r="B32" s="2"/>
      <c r="C32" s="2"/>
      <c r="D32" s="2"/>
      <c r="E32" s="2"/>
      <c r="I32" s="2"/>
      <c r="L32" s="2"/>
      <c r="M32" s="2"/>
      <c r="O32" s="2"/>
      <c r="P32" s="2"/>
      <c r="Q32" s="2"/>
      <c r="R32" s="2"/>
      <c r="S32" s="2"/>
      <c r="T32" s="2"/>
      <c r="U32" s="2"/>
      <c r="V32" s="2"/>
      <c r="W32" s="2"/>
      <c r="X32" s="2"/>
      <c r="Y32" s="2"/>
      <c r="Z32" s="2"/>
      <c r="AA32" s="2"/>
      <c r="AB32" s="2"/>
      <c r="AC32" s="2"/>
      <c r="AD32" s="5"/>
      <c r="AE32" s="5"/>
      <c r="AF32" s="5"/>
      <c r="AG32" s="5"/>
      <c r="AK32" s="5"/>
      <c r="AO32" s="5"/>
      <c r="AS32" s="5"/>
      <c r="AW32" s="5"/>
      <c r="BA32" s="44"/>
      <c r="BE32" s="44"/>
      <c r="BI32" s="44"/>
      <c r="BM32" s="44"/>
      <c r="BQ32" s="44"/>
      <c r="BU32" s="44"/>
      <c r="BY32" s="5"/>
      <c r="BZ32" s="5"/>
      <c r="CA32" s="5"/>
      <c r="CB32" s="5"/>
      <c r="CC32" s="33"/>
      <c r="CD32" s="5"/>
      <c r="CE32" s="5"/>
      <c r="CF32" s="5"/>
      <c r="CG32" s="5"/>
      <c r="CH32" s="5"/>
      <c r="CI32" s="5"/>
      <c r="CJ32" s="5"/>
      <c r="CK32" s="5"/>
    </row>
    <row r="33" spans="1:89" ht="16.5" customHeight="1" x14ac:dyDescent="0.2">
      <c r="A33" s="2"/>
      <c r="B33" s="2"/>
      <c r="C33" s="2"/>
      <c r="D33" s="2"/>
      <c r="E33" s="2"/>
      <c r="I33" s="2"/>
      <c r="L33" s="2"/>
      <c r="M33" s="2"/>
      <c r="O33" s="2"/>
      <c r="P33" s="2"/>
      <c r="Q33" s="2"/>
      <c r="R33" s="2"/>
      <c r="S33" s="2"/>
      <c r="T33" s="2"/>
      <c r="U33" s="2"/>
      <c r="V33" s="2"/>
      <c r="W33" s="2"/>
      <c r="X33" s="2"/>
      <c r="Y33" s="2"/>
      <c r="Z33" s="2"/>
      <c r="AA33" s="2"/>
      <c r="AB33" s="2"/>
      <c r="AC33" s="2"/>
      <c r="AD33" s="5"/>
      <c r="AE33" s="5"/>
      <c r="AF33" s="5"/>
      <c r="AG33" s="5"/>
      <c r="AK33" s="5"/>
      <c r="AO33" s="5"/>
      <c r="AS33" s="5"/>
      <c r="AW33" s="5"/>
      <c r="BA33" s="44"/>
      <c r="BE33" s="44"/>
      <c r="BI33" s="44"/>
      <c r="BM33" s="44"/>
      <c r="BQ33" s="44"/>
      <c r="BU33" s="44"/>
      <c r="BY33" s="5"/>
      <c r="BZ33" s="5"/>
      <c r="CA33" s="5"/>
      <c r="CB33" s="5"/>
      <c r="CC33" s="34"/>
      <c r="CD33" s="5"/>
      <c r="CE33" s="5"/>
      <c r="CF33" s="5"/>
      <c r="CG33" s="5"/>
      <c r="CH33" s="5"/>
      <c r="CI33" s="5"/>
      <c r="CJ33" s="5"/>
      <c r="CK33" s="5"/>
    </row>
    <row r="34" spans="1:89" ht="16.5" customHeight="1" x14ac:dyDescent="0.2">
      <c r="A34" s="2"/>
      <c r="B34" s="2"/>
      <c r="C34" s="2"/>
      <c r="D34" s="2"/>
      <c r="E34" s="2"/>
      <c r="I34" s="2"/>
      <c r="L34" s="2"/>
      <c r="M34" s="2"/>
      <c r="O34" s="2"/>
      <c r="P34" s="2"/>
      <c r="Q34" s="2"/>
      <c r="R34" s="2"/>
      <c r="S34" s="2"/>
      <c r="T34" s="2"/>
      <c r="U34" s="2"/>
      <c r="V34" s="2"/>
      <c r="W34" s="2"/>
      <c r="X34" s="2"/>
      <c r="Y34" s="2"/>
      <c r="Z34" s="2"/>
      <c r="AA34" s="2"/>
      <c r="AB34" s="2"/>
      <c r="AC34" s="2"/>
      <c r="AD34" s="5"/>
      <c r="AE34" s="5"/>
      <c r="AF34" s="5"/>
      <c r="AG34" s="5"/>
      <c r="AK34" s="5"/>
      <c r="AO34" s="5"/>
      <c r="AS34" s="5"/>
      <c r="AW34" s="5"/>
      <c r="BA34" s="44"/>
      <c r="BE34" s="44"/>
      <c r="BI34" s="44"/>
      <c r="BM34" s="44"/>
      <c r="BQ34" s="44"/>
      <c r="BU34" s="44"/>
      <c r="BY34" s="5"/>
      <c r="BZ34" s="5"/>
      <c r="CA34" s="5"/>
      <c r="CB34" s="5"/>
      <c r="CC34" s="35"/>
      <c r="CD34" s="5"/>
      <c r="CE34" s="5"/>
      <c r="CF34" s="5"/>
      <c r="CG34" s="5"/>
      <c r="CH34" s="5"/>
      <c r="CI34" s="5"/>
      <c r="CJ34" s="5"/>
      <c r="CK34" s="5"/>
    </row>
    <row r="35" spans="1:89" ht="16.5" customHeight="1" x14ac:dyDescent="0.2">
      <c r="A35" s="2"/>
      <c r="B35" s="2"/>
      <c r="C35" s="2"/>
      <c r="D35" s="2"/>
      <c r="E35" s="2"/>
      <c r="I35" s="2"/>
      <c r="L35" s="2"/>
      <c r="M35" s="2"/>
      <c r="O35" s="2"/>
      <c r="P35" s="2"/>
      <c r="Q35" s="2"/>
      <c r="R35" s="2"/>
      <c r="S35" s="2"/>
      <c r="T35" s="2"/>
      <c r="U35" s="2"/>
      <c r="V35" s="2"/>
      <c r="W35" s="2"/>
      <c r="X35" s="2"/>
      <c r="Y35" s="2"/>
      <c r="Z35" s="2"/>
      <c r="AA35" s="2"/>
      <c r="AB35" s="2"/>
      <c r="AC35" s="2"/>
      <c r="AD35" s="7"/>
      <c r="AE35" s="7"/>
      <c r="AF35" s="7"/>
      <c r="AG35" s="7"/>
      <c r="AK35" s="7"/>
      <c r="AO35" s="7"/>
      <c r="AS35" s="7"/>
      <c r="AW35" s="7"/>
      <c r="BA35" s="43"/>
      <c r="BE35" s="43"/>
      <c r="BI35" s="43"/>
      <c r="BM35" s="43"/>
      <c r="BQ35" s="43"/>
      <c r="BU35" s="43"/>
      <c r="BY35" s="7"/>
      <c r="BZ35" s="7"/>
      <c r="CA35" s="7"/>
      <c r="CB35" s="7"/>
      <c r="CC35" s="7"/>
      <c r="CD35" s="7"/>
      <c r="CE35" s="7"/>
      <c r="CF35" s="7"/>
      <c r="CG35" s="7"/>
      <c r="CH35" s="7"/>
      <c r="CI35" s="7"/>
      <c r="CJ35" s="7"/>
      <c r="CK35" s="7"/>
    </row>
    <row r="36" spans="1:89" ht="16.5" customHeight="1" x14ac:dyDescent="0.2">
      <c r="A36" s="2"/>
      <c r="B36" s="2"/>
      <c r="C36" s="2"/>
      <c r="D36" s="2"/>
      <c r="E36" s="2"/>
      <c r="I36" s="2"/>
      <c r="L36" s="2"/>
      <c r="M36" s="2"/>
      <c r="O36" s="2"/>
      <c r="P36" s="2"/>
      <c r="Q36" s="2"/>
      <c r="R36" s="2"/>
      <c r="S36" s="2"/>
      <c r="T36" s="2"/>
      <c r="U36" s="2"/>
      <c r="V36" s="2"/>
      <c r="W36" s="2"/>
      <c r="X36" s="2"/>
      <c r="Y36" s="2"/>
      <c r="Z36" s="2"/>
      <c r="AA36" s="2"/>
      <c r="AB36" s="2"/>
      <c r="AC36" s="2"/>
      <c r="AD36" s="5"/>
      <c r="AE36" s="5"/>
      <c r="AF36" s="5"/>
      <c r="AG36" s="5"/>
      <c r="AK36" s="5"/>
      <c r="AO36" s="5"/>
      <c r="AS36" s="5"/>
      <c r="AW36" s="5"/>
      <c r="BA36" s="44"/>
      <c r="BE36" s="44"/>
      <c r="BI36" s="44"/>
      <c r="BM36" s="44"/>
      <c r="BQ36" s="44"/>
      <c r="BU36" s="44"/>
      <c r="BY36" s="5"/>
      <c r="BZ36" s="5"/>
      <c r="CA36" s="5"/>
      <c r="CB36" s="5"/>
      <c r="CC36" s="5"/>
      <c r="CD36" s="5"/>
      <c r="CE36" s="5"/>
      <c r="CF36" s="5"/>
      <c r="CG36" s="5"/>
      <c r="CH36" s="5"/>
      <c r="CI36" s="5"/>
      <c r="CJ36" s="5"/>
      <c r="CK36" s="5"/>
    </row>
    <row r="37" spans="1:89" ht="16.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F37" s="7"/>
      <c r="CG37" s="7"/>
      <c r="CH37" s="7"/>
      <c r="CI37" s="7"/>
      <c r="CJ37" s="7"/>
      <c r="CK37" s="7"/>
    </row>
    <row r="38" spans="1:89" ht="16.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43"/>
      <c r="BZ38" s="5"/>
      <c r="CA38" s="5"/>
      <c r="CB38" s="5"/>
      <c r="CC38" s="43"/>
      <c r="CF38" s="5"/>
      <c r="CG38" s="43"/>
      <c r="CH38" s="5"/>
      <c r="CI38" s="5"/>
      <c r="CJ38" s="5"/>
      <c r="CK38" s="5"/>
    </row>
    <row r="39" spans="1:89" ht="16.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43"/>
      <c r="BZ39" s="5"/>
      <c r="CA39" s="5"/>
      <c r="CB39" s="5"/>
      <c r="CC39" s="43"/>
      <c r="CF39" s="5"/>
      <c r="CG39" s="43"/>
      <c r="CH39" s="5"/>
      <c r="CI39" s="5"/>
      <c r="CJ39" s="5"/>
      <c r="CK39" s="5"/>
    </row>
    <row r="40" spans="1:89" ht="16.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44"/>
      <c r="BZ40" s="5"/>
      <c r="CA40" s="5"/>
      <c r="CB40" s="5"/>
      <c r="CC40" s="44"/>
      <c r="CF40" s="5"/>
      <c r="CG40" s="44"/>
      <c r="CH40" s="5"/>
      <c r="CI40" s="5"/>
      <c r="CJ40" s="5"/>
      <c r="CK40" s="5"/>
    </row>
    <row r="41" spans="1:89" ht="16.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44"/>
      <c r="BZ41" s="5"/>
      <c r="CA41" s="5"/>
      <c r="CB41" s="5"/>
      <c r="CC41" s="44"/>
      <c r="CF41" s="5"/>
      <c r="CG41" s="44"/>
      <c r="CH41" s="5"/>
      <c r="CI41" s="5"/>
      <c r="CJ41" s="5"/>
      <c r="CK41" s="5"/>
    </row>
    <row r="42" spans="1:89" ht="16.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44"/>
      <c r="BZ42" s="5"/>
      <c r="CA42" s="5"/>
      <c r="CB42" s="5"/>
      <c r="CC42" s="44"/>
      <c r="CF42" s="5"/>
      <c r="CG42" s="44"/>
      <c r="CH42" s="5"/>
      <c r="CI42" s="5"/>
      <c r="CJ42" s="5"/>
      <c r="CK42" s="5"/>
    </row>
    <row r="43" spans="1:89" ht="16.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43"/>
      <c r="BZ43" s="5"/>
      <c r="CA43" s="5"/>
      <c r="CB43" s="5"/>
      <c r="CC43" s="43"/>
      <c r="CF43" s="5"/>
      <c r="CG43" s="43"/>
      <c r="CH43" s="5"/>
      <c r="CI43" s="5"/>
      <c r="CJ43" s="5"/>
      <c r="CK43" s="5"/>
    </row>
    <row r="44" spans="1:89" ht="16.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44"/>
      <c r="BZ44" s="5"/>
      <c r="CA44" s="5"/>
      <c r="CB44" s="5"/>
      <c r="CC44" s="44"/>
      <c r="CD44" s="5"/>
      <c r="CE44" s="5"/>
      <c r="CF44" s="5"/>
      <c r="CG44" s="44"/>
      <c r="CH44" s="5"/>
      <c r="CI44" s="5"/>
      <c r="CJ44" s="5"/>
      <c r="CK44" s="5"/>
    </row>
    <row r="45" spans="1:89" ht="16.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row>
    <row r="46" spans="1:89" ht="16.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row>
    <row r="47" spans="1:89" ht="16.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row>
    <row r="48" spans="1:89" ht="16.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row>
    <row r="49" spans="1:89" ht="16.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row>
    <row r="50" spans="1:89" ht="16.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row>
    <row r="51" spans="1:89" ht="16.5" customHeight="1" x14ac:dyDescent="0.2">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row>
    <row r="52" spans="1:89" ht="16.5" customHeight="1" x14ac:dyDescent="0.2">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row>
    <row r="53" spans="1:89" ht="16.5" customHeight="1" x14ac:dyDescent="0.2">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row>
    <row r="54" spans="1:89" ht="16.5" customHeight="1" x14ac:dyDescent="0.2">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row>
    <row r="55" spans="1:89" ht="16.5" customHeight="1" x14ac:dyDescent="0.2">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row>
    <row r="56" spans="1:89" ht="16.5" customHeight="1" x14ac:dyDescent="0.2">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row>
    <row r="57" spans="1:89" ht="16.5" customHeight="1" x14ac:dyDescent="0.2">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row>
    <row r="58" spans="1:89" ht="16.5" customHeight="1" x14ac:dyDescent="0.2">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row>
    <row r="59" spans="1:89" ht="16.5" customHeight="1" x14ac:dyDescent="0.2">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row>
    <row r="60" spans="1:89" ht="16.5" customHeight="1" x14ac:dyDescent="0.2">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row>
    <row r="61" spans="1:89" ht="16.5" customHeight="1" x14ac:dyDescent="0.2">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row>
    <row r="62" spans="1:89" ht="16.5" customHeight="1" x14ac:dyDescent="0.2">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row>
    <row r="63" spans="1:89" ht="16.5" customHeight="1" x14ac:dyDescent="0.2">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row>
    <row r="64" spans="1:89" ht="16.5" customHeight="1" x14ac:dyDescent="0.2">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row>
    <row r="65" spans="1:89" ht="16.5" customHeight="1" x14ac:dyDescent="0.2">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row>
    <row r="66" spans="1:89" ht="16.5" customHeight="1" x14ac:dyDescent="0.2">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row>
    <row r="67" spans="1:89" ht="16.5" customHeight="1" x14ac:dyDescent="0.2">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row>
    <row r="68" spans="1:89" ht="16.5" customHeight="1" x14ac:dyDescent="0.2">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row>
    <row r="69" spans="1:89" ht="16.5" customHeight="1" x14ac:dyDescent="0.2">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row>
    <row r="70" spans="1:89" ht="16.5" customHeight="1" x14ac:dyDescent="0.2">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row>
    <row r="71" spans="1:89" ht="16.5" customHeight="1" x14ac:dyDescent="0.2">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row>
    <row r="72" spans="1:89" ht="16.5" customHeight="1" x14ac:dyDescent="0.2">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row>
    <row r="73" spans="1:89" ht="16.5" customHeight="1" x14ac:dyDescent="0.2">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row>
    <row r="74" spans="1:89" ht="16.5" customHeight="1" x14ac:dyDescent="0.2">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row>
    <row r="75" spans="1:89" ht="16.5" customHeight="1" x14ac:dyDescent="0.2">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row>
    <row r="76" spans="1:89" ht="16.5" customHeight="1" x14ac:dyDescent="0.2">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row>
    <row r="77" spans="1:89" ht="16.5" customHeight="1" x14ac:dyDescent="0.2">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row>
    <row r="78" spans="1:89" ht="16.5" customHeight="1" x14ac:dyDescent="0.2">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row>
    <row r="79" spans="1:89" ht="16.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row>
    <row r="80" spans="1:89" ht="16.5" customHeight="1" x14ac:dyDescent="0.2">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row>
    <row r="81" spans="1:89" ht="16.5" customHeight="1" x14ac:dyDescent="0.2">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row>
    <row r="82" spans="1:89" ht="16.5" customHeight="1" x14ac:dyDescent="0.2">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row>
    <row r="83" spans="1:89" ht="16.5" customHeight="1" x14ac:dyDescent="0.2">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row>
    <row r="84" spans="1:89" ht="16.5" customHeight="1" x14ac:dyDescent="0.2">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row>
    <row r="85" spans="1:89" ht="16.5" customHeight="1" x14ac:dyDescent="0.2">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row>
    <row r="86" spans="1:89" ht="16.5" customHeight="1" x14ac:dyDescent="0.2">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row>
    <row r="87" spans="1:89" ht="16.5" customHeight="1" x14ac:dyDescent="0.2">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row>
    <row r="88" spans="1:89" ht="16.5" customHeight="1" x14ac:dyDescent="0.2">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row>
    <row r="89" spans="1:89" ht="16.5" customHeight="1" x14ac:dyDescent="0.2">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row>
    <row r="90" spans="1:89" ht="16.5" customHeight="1" x14ac:dyDescent="0.2">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row>
    <row r="91" spans="1:89" ht="16.5" customHeight="1" x14ac:dyDescent="0.2">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row>
    <row r="92" spans="1:89" ht="16.5" customHeight="1" x14ac:dyDescent="0.2">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row>
    <row r="93" spans="1:89" ht="16.5" customHeight="1" x14ac:dyDescent="0.2">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row>
    <row r="94" spans="1:89" ht="16.5" customHeight="1" x14ac:dyDescent="0.2">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row>
    <row r="95" spans="1:89" ht="16.5" customHeight="1" x14ac:dyDescent="0.2">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row>
    <row r="96" spans="1:89" ht="16.5" customHeight="1" x14ac:dyDescent="0.2">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row>
    <row r="97" spans="1:89" ht="16.5" customHeight="1" x14ac:dyDescent="0.2">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row>
    <row r="98" spans="1:89" ht="16.5" customHeight="1" x14ac:dyDescent="0.2">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row>
    <row r="99" spans="1:89" ht="16.5" customHeight="1" x14ac:dyDescent="0.2">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row>
    <row r="100" spans="1:89" ht="16.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row>
    <row r="101" spans="1:89" ht="16.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row>
    <row r="102" spans="1:89" ht="16.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row>
    <row r="103" spans="1:89" ht="16.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row>
    <row r="104" spans="1:89" ht="16.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row>
    <row r="105" spans="1:89" ht="16.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row>
    <row r="106" spans="1:89" ht="16.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row>
    <row r="107" spans="1:89" ht="16.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row>
    <row r="108" spans="1:89" ht="16.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row>
    <row r="109" spans="1:89" ht="16.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row>
    <row r="110" spans="1:89" ht="16.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row>
    <row r="111" spans="1:89" ht="16.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row>
    <row r="112" spans="1:89" ht="16.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row>
    <row r="113" spans="1:89" ht="16.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row>
    <row r="114" spans="1:89" ht="16.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row>
    <row r="115" spans="1:89" ht="16.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row>
    <row r="116" spans="1:89" ht="16.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row>
    <row r="117" spans="1:89" ht="16.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row>
    <row r="118" spans="1:89" ht="16.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row>
    <row r="119" spans="1:89" ht="16.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row>
    <row r="120" spans="1:89" ht="16.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row>
    <row r="121" spans="1:89" ht="16.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row>
    <row r="122" spans="1:89" ht="16.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row>
    <row r="123" spans="1:89" ht="16.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row>
    <row r="124" spans="1:89" ht="16.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row>
    <row r="125" spans="1:89" ht="16.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row>
    <row r="126" spans="1:89" ht="16.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row>
    <row r="127" spans="1:89" ht="16.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row>
    <row r="128" spans="1:89" ht="16.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row>
    <row r="129" spans="1:89" ht="16.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row>
    <row r="130" spans="1:89" ht="16.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row>
    <row r="131" spans="1:89" ht="16.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row>
    <row r="132" spans="1:89" ht="16.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row>
    <row r="133" spans="1:89" ht="16.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row>
    <row r="134" spans="1:89" ht="16.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row>
    <row r="135" spans="1:89" ht="16.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row>
    <row r="136" spans="1:89" ht="16.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row>
    <row r="137" spans="1:89" ht="16.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row>
    <row r="138" spans="1:89" ht="16.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row>
    <row r="139" spans="1:89" ht="16.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row>
    <row r="140" spans="1:89" ht="16.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row>
    <row r="141" spans="1:89" ht="16.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row>
    <row r="142" spans="1:89" ht="16.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row>
    <row r="143" spans="1:89" ht="16.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row>
    <row r="144" spans="1:89" ht="16.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row>
    <row r="145" spans="1:89" ht="16.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row>
    <row r="146" spans="1:89" ht="16.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row>
    <row r="147" spans="1:89" ht="16.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row>
    <row r="148" spans="1:89" ht="16.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row>
    <row r="149" spans="1:89" ht="16.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row>
    <row r="150" spans="1:89" ht="16.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row>
    <row r="151" spans="1:89" ht="16.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row>
    <row r="152" spans="1:89" ht="16.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row>
    <row r="153" spans="1:89" ht="16.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row>
    <row r="154" spans="1:89" ht="16.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row>
    <row r="155" spans="1:89" ht="16.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row>
    <row r="156" spans="1:89" ht="16.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row>
    <row r="157" spans="1:89" ht="16.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row>
    <row r="158" spans="1:89" ht="16.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row>
    <row r="159" spans="1:89" ht="16.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row>
    <row r="160" spans="1:89" ht="16.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row>
    <row r="161" spans="1:89" ht="16.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row>
    <row r="162" spans="1:89" ht="16.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row>
    <row r="163" spans="1:89" ht="16.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row>
    <row r="164" spans="1:89" ht="16.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row>
    <row r="165" spans="1:89" ht="16.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row>
    <row r="166" spans="1:89" ht="16.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row>
    <row r="167" spans="1:89" ht="16.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row>
    <row r="168" spans="1:89" ht="16.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row>
    <row r="169" spans="1:89" ht="16.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row>
    <row r="170" spans="1:89" ht="16.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row>
    <row r="171" spans="1:89" ht="16.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row>
    <row r="172" spans="1:89" ht="16.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row>
    <row r="173" spans="1:89" ht="16.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row>
    <row r="174" spans="1:89" ht="16.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row>
    <row r="175" spans="1:89" ht="16.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row>
    <row r="176" spans="1:89" ht="16.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row>
    <row r="177" spans="1:89" ht="16.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row>
    <row r="178" spans="1:89" ht="16.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row>
    <row r="179" spans="1:89" ht="16.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row>
    <row r="180" spans="1:89" ht="16.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row>
    <row r="181" spans="1:89" ht="16.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row>
    <row r="182" spans="1:89" ht="16.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row>
    <row r="183" spans="1:89" ht="16.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row>
    <row r="184" spans="1:89" ht="16.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row>
    <row r="185" spans="1:89" ht="16.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row>
    <row r="186" spans="1:89" ht="16.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row>
    <row r="187" spans="1:89" ht="16.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row>
    <row r="188" spans="1:89" ht="16.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row>
    <row r="189" spans="1:89" ht="16.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row>
    <row r="190" spans="1:89" ht="16.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row>
    <row r="191" spans="1:89" ht="16.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row>
    <row r="192" spans="1:89" ht="16.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row>
    <row r="193" spans="1:89" ht="16.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row>
    <row r="194" spans="1:89" ht="16.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row>
    <row r="195" spans="1:89" ht="16.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row>
    <row r="196" spans="1:89" ht="16.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row>
    <row r="197" spans="1:89" ht="16.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row>
    <row r="198" spans="1:89" ht="16.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row>
    <row r="199" spans="1:89" ht="16.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row>
    <row r="200" spans="1:89" ht="16.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row>
    <row r="201" spans="1:89" ht="16.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row>
    <row r="202" spans="1:89" ht="16.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row>
    <row r="203" spans="1:89" ht="16.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row>
    <row r="204" spans="1:89" ht="16.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row>
    <row r="205" spans="1:89" ht="16.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row>
    <row r="206" spans="1:89" ht="16.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row>
    <row r="207" spans="1:89" ht="16.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row>
    <row r="208" spans="1:89" ht="16.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row>
    <row r="209" spans="1:89" ht="16.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row>
    <row r="210" spans="1:89" ht="16.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row>
    <row r="211" spans="1:89" ht="16.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row>
    <row r="212" spans="1:89" ht="16.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row>
    <row r="213" spans="1:89" ht="16.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row>
    <row r="214" spans="1:89" ht="16.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row>
    <row r="215" spans="1:89" ht="16.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row>
    <row r="216" spans="1:89" ht="16.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row>
    <row r="217" spans="1:89" ht="16.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row>
    <row r="218" spans="1:89" ht="16.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row>
    <row r="219" spans="1:89" ht="16.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row>
    <row r="220" spans="1:89" ht="16.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row>
    <row r="221" spans="1:89" ht="16.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row>
    <row r="222" spans="1:89" ht="16.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row>
    <row r="223" spans="1:89" ht="16.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row>
    <row r="224" spans="1:89" ht="16.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row>
    <row r="225" spans="1:89" ht="16.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row>
    <row r="226" spans="1:89" ht="16.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row>
    <row r="227" spans="1:89" ht="16.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row>
    <row r="228" spans="1:89" ht="16.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row>
    <row r="229" spans="1:89" ht="16.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row>
    <row r="230" spans="1:89" ht="16.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row>
    <row r="231" spans="1:89" ht="16.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row>
    <row r="232" spans="1:89" ht="16.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row>
    <row r="233" spans="1:89" ht="16.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row>
    <row r="234" spans="1:89" ht="16.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row>
    <row r="235" spans="1:89" ht="16.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row>
    <row r="236" spans="1:89" ht="16.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row>
    <row r="237" spans="1:89" ht="16.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row>
    <row r="238" spans="1:89" ht="16.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row>
    <row r="239" spans="1:89" ht="16.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row>
    <row r="240" spans="1:89" ht="16.5"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row>
    <row r="241" spans="1:89" ht="16.5"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row>
    <row r="242" spans="1:89" ht="16.5"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row>
    <row r="243" spans="1:89" ht="16.5"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row>
    <row r="244" spans="1:89" ht="16.5"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row>
    <row r="245" spans="1:89" ht="16.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row>
    <row r="246" spans="1:89" ht="16.5"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row>
    <row r="247" spans="1:89" ht="16.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row>
    <row r="248" spans="1:89" ht="16.5"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row>
    <row r="249" spans="1:89" ht="16.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row>
    <row r="250" spans="1:89" ht="16.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row>
    <row r="251" spans="1:89" ht="16.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row>
    <row r="252" spans="1:89" ht="16.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row>
    <row r="253" spans="1:89" ht="16.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row>
    <row r="254" spans="1:89" ht="16.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row>
    <row r="255" spans="1:89" ht="16.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row>
    <row r="256" spans="1:89" ht="16.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row>
    <row r="257" spans="1:89" ht="16.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row>
    <row r="258" spans="1:89" ht="16.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row>
    <row r="259" spans="1:89" ht="16.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row>
    <row r="260" spans="1:89" ht="16.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row>
    <row r="261" spans="1:89" ht="16.5"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row>
    <row r="262" spans="1:89" ht="16.5"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row>
    <row r="263" spans="1:89" ht="16.5"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row>
    <row r="264" spans="1:89" ht="16.5"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row>
    <row r="265" spans="1:89" ht="16.5"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row>
    <row r="266" spans="1:89" ht="16.5"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row>
    <row r="267" spans="1:89" ht="16.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row>
    <row r="268" spans="1:89" ht="16.5" customHeight="1"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row>
    <row r="269" spans="1:89" ht="16.5" customHeight="1"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row>
    <row r="270" spans="1:89" ht="16.5" customHeight="1"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row>
    <row r="271" spans="1:89" ht="16.5" customHeight="1"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row>
    <row r="272" spans="1:89" ht="16.5" customHeight="1"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row>
    <row r="273" spans="1:29" ht="16.5" customHeight="1"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row>
    <row r="274" spans="1:29" ht="16.5" customHeight="1"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row>
    <row r="275" spans="1:29" ht="16.5" customHeight="1"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row>
    <row r="276" spans="1:29" ht="16.5" customHeight="1"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row>
    <row r="277" spans="1:29" ht="16.5" customHeight="1"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row>
    <row r="278" spans="1:29" ht="16.5" customHeight="1"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row>
    <row r="279" spans="1:29" ht="16.5" customHeight="1"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row>
    <row r="280" spans="1:29" ht="16.5" customHeight="1"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row>
    <row r="281" spans="1:29" ht="16.5" customHeight="1"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row>
    <row r="282" spans="1:29" ht="16.5" customHeight="1"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row>
    <row r="283" spans="1:29" ht="16.5" customHeight="1"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row>
    <row r="284" spans="1:29" ht="16.5" customHeight="1"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row>
    <row r="285" spans="1:29" ht="16.5" customHeight="1"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row>
    <row r="286" spans="1:29" ht="16.5" customHeight="1"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row>
    <row r="287" spans="1:29" ht="16.5" customHeight="1"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row>
    <row r="288" spans="1:29" ht="16.5" customHeight="1"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row>
    <row r="289" spans="1:29" ht="16.5" customHeight="1"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row>
    <row r="290" spans="1:29" ht="16.5"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row>
    <row r="291" spans="1:29" ht="16.5" customHeight="1"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row>
    <row r="292" spans="1:29" ht="16.5" customHeight="1"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row>
    <row r="293" spans="1:29" ht="16.5" customHeight="1"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row>
  </sheetData>
  <mergeCells count="1">
    <mergeCell ref="BB26:BE28"/>
  </mergeCell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C12E1E0-40E6-4DF8-A232-EB83C21A5AD3}">
  <ds:schemaRefs>
    <ds:schemaRef ds:uri="http://schemas.microsoft.com/sharepoint/v3/contenttype/forms"/>
  </ds:schemaRefs>
</ds:datastoreItem>
</file>

<file path=customXml/itemProps2.xml><?xml version="1.0" encoding="utf-8"?>
<ds:datastoreItem xmlns:ds="http://schemas.openxmlformats.org/officeDocument/2006/customXml" ds:itemID="{5FF6726B-2EAE-473C-B27A-377229D8982E}">
  <ds:schemaRefs>
    <ds:schemaRef ds:uri="http://schemas.microsoft.com/sharepoint/events"/>
  </ds:schemaRefs>
</ds:datastoreItem>
</file>

<file path=customXml/itemProps3.xml><?xml version="1.0" encoding="utf-8"?>
<ds:datastoreItem xmlns:ds="http://schemas.openxmlformats.org/officeDocument/2006/customXml" ds:itemID="{96690AB5-7845-428C-AD9F-C69763ABA2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873BB5B-8E5B-4AF7-956E-8A5BD055F9F5}">
  <ds:schemaRefs>
    <ds:schemaRef ds:uri="http://schemas.microsoft.com/office/infopath/2007/PartnerControls"/>
    <ds:schemaRef ds:uri="http://schemas.microsoft.com/office/2006/metadata/properties"/>
    <ds:schemaRef ds:uri="http://schemas.openxmlformats.org/package/2006/metadata/core-properties"/>
    <ds:schemaRef ds:uri="http://purl.org/dc/elements/1.1/"/>
    <ds:schemaRef ds:uri="3eb395c1-c26a-485a-a474-2edaaa77b21c"/>
    <ds:schemaRef ds:uri="http://schemas.microsoft.com/office/2006/documentManagement/types"/>
    <ds:schemaRef ds:uri="http://purl.org/dc/dcmitype/"/>
    <ds:schemaRef ds:uri="http://purl.org/dc/term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Nabihah binti Haji Adanan</cp:lastModifiedBy>
  <dcterms:created xsi:type="dcterms:W3CDTF">2019-01-28T12:18:23Z</dcterms:created>
  <dcterms:modified xsi:type="dcterms:W3CDTF">2026-10-17T06:55:26Z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